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726"/>
  <workbookPr defaultThemeVersion="166925"/>
  <mc:AlternateContent xmlns:mc="http://schemas.openxmlformats.org/markup-compatibility/2006">
    <mc:Choice Requires="x15">
      <x15ac:absPath xmlns:x15ac="http://schemas.microsoft.com/office/spreadsheetml/2010/11/ac" url="C:\Users\admin\Desktop\"/>
    </mc:Choice>
  </mc:AlternateContent>
  <xr:revisionPtr revIDLastSave="0" documentId="8_{D7CF637F-DEB1-4FB6-BEB1-C76CDB9CEFBB}" xr6:coauthVersionLast="47" xr6:coauthVersionMax="47" xr10:uidLastSave="{00000000-0000-0000-0000-000000000000}"/>
  <bookViews>
    <workbookView xWindow="-120" yWindow="-120" windowWidth="29040" windowHeight="15840" activeTab="1" xr2:uid="{00000000-000D-0000-FFFF-FFFF00000000}"/>
  </bookViews>
  <sheets>
    <sheet name="Trading-Logbuch" sheetId="9" r:id="rId1"/>
    <sheet name="Eingebucht" sheetId="17" r:id="rId2"/>
    <sheet name="Legende" sheetId="15" r:id="rId3"/>
    <sheet name="Währungsumrechnungen" sheetId="16" r:id="rId4"/>
  </sheets>
  <definedNames>
    <definedName name="pubhtml" localSheetId="3">Währungsumrechnungen!$A$1:$C$8</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S15" i="9" l="1"/>
  <c r="J3" i="17"/>
  <c r="J2" i="17"/>
  <c r="I2" i="17"/>
  <c r="I3" i="17"/>
  <c r="J10" i="17"/>
  <c r="I10" i="17"/>
  <c r="P10" i="17"/>
  <c r="S28" i="9"/>
  <c r="Q38" i="9" l="1"/>
  <c r="I36" i="9" l="1"/>
  <c r="L36" i="9"/>
  <c r="K36" i="9" s="1"/>
  <c r="O36" i="9"/>
  <c r="R36" i="9"/>
  <c r="T36" i="9"/>
  <c r="U36" i="9"/>
  <c r="I37" i="9"/>
  <c r="L37" i="9"/>
  <c r="K37" i="9" s="1"/>
  <c r="O37" i="9"/>
  <c r="R37" i="9"/>
  <c r="T37" i="9"/>
  <c r="U37" i="9"/>
  <c r="M36" i="9" l="1"/>
  <c r="Q36" i="9"/>
  <c r="M37" i="9"/>
  <c r="Q37" i="9"/>
  <c r="I38" i="9"/>
  <c r="L38" i="9"/>
  <c r="K38" i="9" s="1"/>
  <c r="M38" i="9" s="1"/>
  <c r="O38" i="9"/>
  <c r="R38" i="9"/>
  <c r="S38" i="9" s="1"/>
  <c r="T38" i="9"/>
  <c r="U38" i="9"/>
  <c r="I39" i="9"/>
  <c r="L39" i="9"/>
  <c r="K39" i="9" s="1"/>
  <c r="O39" i="9"/>
  <c r="R39" i="9"/>
  <c r="T39" i="9"/>
  <c r="U39" i="9"/>
  <c r="I40" i="9"/>
  <c r="L40" i="9"/>
  <c r="K40" i="9" s="1"/>
  <c r="O40" i="9"/>
  <c r="R40" i="9"/>
  <c r="T40" i="9"/>
  <c r="U40" i="9"/>
  <c r="S37" i="9" l="1"/>
  <c r="S36" i="9"/>
  <c r="M40" i="9"/>
  <c r="Q40" i="9"/>
  <c r="M39" i="9"/>
  <c r="Q39" i="9"/>
  <c r="I41" i="9"/>
  <c r="L41" i="9"/>
  <c r="K41" i="9" s="1"/>
  <c r="O41" i="9"/>
  <c r="R41" i="9"/>
  <c r="T41" i="9"/>
  <c r="U41" i="9"/>
  <c r="S39" i="9" l="1"/>
  <c r="S40" i="9"/>
  <c r="M41" i="9"/>
  <c r="Q41" i="9"/>
  <c r="I42" i="9"/>
  <c r="L42" i="9"/>
  <c r="O42" i="9"/>
  <c r="R42" i="9"/>
  <c r="T42" i="9"/>
  <c r="U42" i="9"/>
  <c r="S41" i="9" l="1"/>
  <c r="K42" i="9"/>
  <c r="Q42" i="9" s="1"/>
  <c r="M42" i="9" l="1"/>
  <c r="O43" i="9"/>
  <c r="O44" i="9"/>
  <c r="O45" i="9"/>
  <c r="O46" i="9"/>
  <c r="O47" i="9"/>
  <c r="O48" i="9"/>
  <c r="O49" i="9"/>
  <c r="O50" i="9"/>
  <c r="O51" i="9"/>
  <c r="O52" i="9"/>
  <c r="O53" i="9"/>
  <c r="O54" i="9"/>
  <c r="O55" i="9"/>
  <c r="O56" i="9"/>
  <c r="L47" i="9"/>
  <c r="S42" i="9" l="1"/>
  <c r="I43" i="9"/>
  <c r="L43" i="9"/>
  <c r="K43" i="9" s="1"/>
  <c r="Q43" i="9" s="1"/>
  <c r="R43" i="9"/>
  <c r="T43" i="9"/>
  <c r="U43" i="9"/>
  <c r="M43" i="9" l="1"/>
  <c r="S43" i="9" s="1"/>
  <c r="L44" i="9" l="1"/>
  <c r="L45" i="9"/>
  <c r="K45" i="9" s="1"/>
  <c r="Q45" i="9" s="1"/>
  <c r="L46" i="9"/>
  <c r="K46" i="9" s="1"/>
  <c r="Q46" i="9" s="1"/>
  <c r="L48" i="9"/>
  <c r="K48" i="9" s="1"/>
  <c r="Q48" i="9" s="1"/>
  <c r="L49" i="9"/>
  <c r="L50" i="9"/>
  <c r="K50" i="9" s="1"/>
  <c r="Q50" i="9" s="1"/>
  <c r="L51" i="9"/>
  <c r="K51" i="9" s="1"/>
  <c r="Q51" i="9" s="1"/>
  <c r="L52" i="9"/>
  <c r="K52" i="9" s="1"/>
  <c r="Q52" i="9" s="1"/>
  <c r="L53" i="9"/>
  <c r="K53" i="9" s="1"/>
  <c r="Q53" i="9" s="1"/>
  <c r="L54" i="9"/>
  <c r="K54" i="9" s="1"/>
  <c r="Q54" i="9" s="1"/>
  <c r="L55" i="9"/>
  <c r="K55" i="9" s="1"/>
  <c r="Q55" i="9" s="1"/>
  <c r="L56" i="9"/>
  <c r="K56" i="9" s="1"/>
  <c r="Q56" i="9" s="1"/>
  <c r="T44" i="9"/>
  <c r="T45" i="9"/>
  <c r="T46" i="9"/>
  <c r="T47" i="9"/>
  <c r="T48" i="9"/>
  <c r="T49" i="9"/>
  <c r="T50" i="9"/>
  <c r="T51" i="9"/>
  <c r="T52" i="9"/>
  <c r="T53" i="9"/>
  <c r="T54" i="9"/>
  <c r="T55" i="9"/>
  <c r="T56" i="9"/>
  <c r="U44" i="9"/>
  <c r="U45" i="9"/>
  <c r="U46" i="9"/>
  <c r="U47" i="9"/>
  <c r="U48" i="9"/>
  <c r="U49" i="9"/>
  <c r="U50" i="9"/>
  <c r="U51" i="9"/>
  <c r="U52" i="9"/>
  <c r="U53" i="9"/>
  <c r="U54" i="9"/>
  <c r="U55" i="9"/>
  <c r="U56" i="9"/>
  <c r="M48" i="9" l="1"/>
  <c r="M45" i="9"/>
  <c r="M51" i="9"/>
  <c r="M46" i="9"/>
  <c r="K44" i="9"/>
  <c r="Q44" i="9" s="1"/>
  <c r="S25" i="9"/>
  <c r="M56" i="9"/>
  <c r="M50" i="9"/>
  <c r="M52" i="9"/>
  <c r="M55" i="9"/>
  <c r="M54" i="9"/>
  <c r="M53" i="9"/>
  <c r="M44" i="9" l="1"/>
  <c r="I44" i="9"/>
  <c r="R44" i="9"/>
  <c r="S44" i="9" l="1"/>
  <c r="S18" i="9"/>
  <c r="S19" i="9"/>
  <c r="I45" i="9" l="1"/>
  <c r="R45" i="9"/>
  <c r="S45" i="9" s="1"/>
  <c r="I46" i="9" l="1"/>
  <c r="R46" i="9"/>
  <c r="S46" i="9" s="1"/>
  <c r="R47" i="9" l="1"/>
  <c r="R48" i="9"/>
  <c r="S48" i="9" s="1"/>
  <c r="R49" i="9"/>
  <c r="R50" i="9"/>
  <c r="R51" i="9"/>
  <c r="S51" i="9" s="1"/>
  <c r="R56" i="9"/>
  <c r="R53" i="9"/>
  <c r="R54" i="9"/>
  <c r="R52" i="9"/>
  <c r="R55" i="9"/>
  <c r="I53" i="9"/>
  <c r="I54" i="9"/>
  <c r="I52" i="9"/>
  <c r="I55" i="9"/>
  <c r="J49" i="9"/>
  <c r="K49" i="9" s="1"/>
  <c r="Q49" i="9" s="1"/>
  <c r="J47" i="9"/>
  <c r="K47" i="9" s="1"/>
  <c r="Q47" i="9" s="1"/>
  <c r="I56" i="9"/>
  <c r="I51" i="9"/>
  <c r="I50" i="9"/>
  <c r="I49" i="9"/>
  <c r="I48" i="9"/>
  <c r="I47" i="9"/>
  <c r="M47" i="9" l="1"/>
  <c r="M49" i="9"/>
  <c r="K59" i="9"/>
  <c r="S50" i="9"/>
  <c r="S56" i="9"/>
  <c r="S9" i="9"/>
  <c r="R60" i="9"/>
  <c r="S54" i="9"/>
  <c r="S53" i="9"/>
  <c r="S52" i="9"/>
  <c r="S4" i="9" l="1"/>
  <c r="S47" i="9"/>
  <c r="S49" i="9"/>
  <c r="S55" i="9"/>
  <c r="M59" i="9"/>
  <c r="S6" i="9"/>
  <c r="Q60" i="9"/>
  <c r="S5" i="9"/>
  <c r="Q59" i="9"/>
  <c r="S7" i="9"/>
  <c r="S60" i="9" l="1"/>
  <c r="S10" i="9"/>
  <c r="S14" i="9"/>
  <c r="S16" i="9" l="1"/>
  <c r="S20" i="9" s="1"/>
  <c r="B27" i="9"/>
  <c r="M61" i="9" s="1"/>
  <c r="I61" i="9"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Abfrage - Document" description="Verbindung mit der Abfrage 'Document' in der Arbeitsmappe." type="5" refreshedVersion="6" background="1">
    <dbPr connection="Provider=Microsoft.Mashup.OleDb.1;Data Source=$Workbook$;Location=Document;Extended Properties=&quot;&quot;" command="SELECT * FROM [Document]"/>
  </connection>
  <connection id="2" xr16:uid="{00000000-0015-0000-FFFF-FFFF01000000}" keepAlive="1" name="Abfrage - https://de finance yahoo com/quote/EURUSD=X?p=EURUSD=X" description="Verbindung mit der Abfrage 'https://de finance yahoo com/quote/EURUSD=X?p=EURUSD=X' in der Arbeitsmappe." type="5" refreshedVersion="6" background="1">
    <dbPr connection="Provider=Microsoft.Mashup.OleDb.1;Data Source=$Workbook$;Location=&quot;https://de finance yahoo com/quote/EURUSD=X?p=EURUSD=X&quot;;Extended Properties=&quot;&quot;" command="SELECT * FROM [https://de finance yahoo com/quote/EURUSD=X?p=EURUSD=X]"/>
  </connection>
  <connection id="3" xr16:uid="{00000000-0015-0000-FFFF-FFFF02000000}" keepAlive="1" name="Abfrage - https://www x-rates com/graph/?from=EUR&amp;to=USD" description="Verbindung mit der Abfrage 'https://www x-rates com/graph/?from=EUR&amp;to=USD' in der Arbeitsmappe." type="5" refreshedVersion="6" background="1">
    <dbPr connection="Provider=Microsoft.Mashup.OleDb.1;Data Source=$Workbook$;Location=&quot;https://www x-rates com/graph/?from=EUR&amp;to=USD&quot;;Extended Properties=&quot;&quot;" command="SELECT * FROM [https://www x-rates com/graph/?from=EUR&amp;to=USD]"/>
  </connection>
  <connection id="4" xr16:uid="{00000000-0015-0000-FFFF-FFFF03000000}" keepAlive="1" name="Abfrage - US Dollar Exchange Rates Table Converter" description="Verbindung mit der Abfrage 'US Dollar Exchange Rates Table Converter' in der Arbeitsmappe." type="5" refreshedVersion="6" background="1" saveData="1">
    <dbPr connection="Provider=Microsoft.Mashup.OleDb.1;Data Source=$Workbook$;Location=US Dollar Exchange Rates Table Converter;Extended Properties=&quot;&quot;" command="SELECT * FROM [US Dollar Exchange Rates Table Converter]"/>
  </connection>
  <connection id="5" xr16:uid="{00000000-0015-0000-FFFF-FFFF04000000}" name="Verbindung1" type="4" refreshedVersion="8" background="1" saveData="1">
    <webPr sourceData="1" parsePre="1" consecutive="1" xl2000="1" url="https://docs.google.com/spreadsheets/d/e/2PACX-1vSRol7QXkQ3o1aVZiwlgNJSGDx83Lni-YGXWnJoSB2BFf0ABwkV0fm0tzSNpiewfnNNmo2F6dr0LF_D/pubhtml"/>
  </connection>
</connections>
</file>

<file path=xl/sharedStrings.xml><?xml version="1.0" encoding="utf-8"?>
<sst xmlns="http://schemas.openxmlformats.org/spreadsheetml/2006/main" count="207" uniqueCount="163">
  <si>
    <t>Strike</t>
  </si>
  <si>
    <t>LUV</t>
  </si>
  <si>
    <t>Verfallsdatum</t>
  </si>
  <si>
    <t>Ticker</t>
  </si>
  <si>
    <t>EBAY</t>
  </si>
  <si>
    <t>MGM</t>
  </si>
  <si>
    <t>SPG</t>
  </si>
  <si>
    <t>TWTR</t>
  </si>
  <si>
    <t>IRBT</t>
  </si>
  <si>
    <t>Stück</t>
  </si>
  <si>
    <t>Jährliche Rendite</t>
  </si>
  <si>
    <t>Put/Call</t>
  </si>
  <si>
    <t>P</t>
  </si>
  <si>
    <t>NTGR</t>
  </si>
  <si>
    <t>STOR</t>
  </si>
  <si>
    <t>Prämie je Kontrakt</t>
  </si>
  <si>
    <t>Prämie gesamt</t>
  </si>
  <si>
    <t>DATEN DER OPTIONEN</t>
  </si>
  <si>
    <t>Finale Laufzeit</t>
  </si>
  <si>
    <t>SUMME:</t>
  </si>
  <si>
    <t>MITTELWERT:</t>
  </si>
  <si>
    <t>Einsatz gesamt</t>
  </si>
  <si>
    <t>SUMME OFFENER TRADES</t>
  </si>
  <si>
    <t>LEGENDE</t>
  </si>
  <si>
    <t>Der US-Ticker, der den Basiswert (Aktie oder ETF) identifiziert.</t>
  </si>
  <si>
    <t>Die Anzahl der Kontrakte, die du handelst</t>
  </si>
  <si>
    <t>Der Basispreis bzw. Ausübungspreis der Option</t>
  </si>
  <si>
    <t>P steht für Put, C für Call</t>
  </si>
  <si>
    <t>Der Tag, an dem die Option verfällt</t>
  </si>
  <si>
    <t>Gewinn gesamt</t>
  </si>
  <si>
    <t>Der absolute Gewinn für diesen Trade</t>
  </si>
  <si>
    <t>Die Laufzeit deines Trades. Kann sich von der "Laufzeit" bei Eröffnung unterscheiden, wenn du den Trade vorzeitig schließt, was oft vorkommen kann</t>
  </si>
  <si>
    <t>Die umgerechnete jährliche Rendite dieses Trades: Setzt den Gewinn ins Verhältnis zum Einsatz und berücksichtigt die finale Laufzeit</t>
  </si>
  <si>
    <t>Summe offener Trades</t>
  </si>
  <si>
    <t>Summe</t>
  </si>
  <si>
    <t>Mittelwert</t>
  </si>
  <si>
    <t>Mittelwerte der Gewinne, der Laufzeiten und der jährlichen Renditen</t>
  </si>
  <si>
    <t>PGR</t>
  </si>
  <si>
    <t>EUR/USD</t>
  </si>
  <si>
    <t>Das STILLHALTER-Brief TRADING-LOGBUCH</t>
  </si>
  <si>
    <t>Datum Eröffnung</t>
  </si>
  <si>
    <t>DATEN DER TRADES</t>
  </si>
  <si>
    <t>ERGEBNISSE</t>
  </si>
  <si>
    <t>initiale Laufzeit</t>
  </si>
  <si>
    <t>Die Differenz zwischen dem Verfallsdatum und dem Tag der Eröffnung angegeben in Tagen</t>
  </si>
  <si>
    <t>Das Kapital, das du bar auf dem Konto halten musst, um diesen Trade "cash gedeckt" eingehen zu können. Berücksichtigt die Anzahl der Kontrakte</t>
  </si>
  <si>
    <t>KRE</t>
  </si>
  <si>
    <t>Die STILLHALTER-Brief Performance-Übersicht</t>
  </si>
  <si>
    <t>Durchschnittlicher Gewinn pro Trade</t>
  </si>
  <si>
    <t>Durchschnittliche Laufzeit in Tagen</t>
  </si>
  <si>
    <t>Durchschnittliche jährliche Rendite</t>
  </si>
  <si>
    <t>Rendite</t>
  </si>
  <si>
    <t>Mein Depot-Wert beim Start in €</t>
  </si>
  <si>
    <t>Höchster Gewinntrade</t>
  </si>
  <si>
    <t>Schlechtester Trade</t>
  </si>
  <si>
    <t>Startdatum</t>
  </si>
  <si>
    <t>Heute</t>
  </si>
  <si>
    <t>Mit einem Rechtsklick auf Zeile 36 kannst du belieibig zusätzliche Zeilen für neue Trades einfügen.</t>
  </si>
  <si>
    <r>
      <t xml:space="preserve">Zellen mit dieser Farbe enthalten Formeln. </t>
    </r>
    <r>
      <rPr>
        <sz val="11"/>
        <color rgb="FFFF0000"/>
        <rFont val="Calibri"/>
        <family val="2"/>
        <scheme val="minor"/>
      </rPr>
      <t>In diese Zellen trägst du bitte nichts ein!</t>
    </r>
  </si>
  <si>
    <t>COP</t>
  </si>
  <si>
    <t>Gewinnerquote</t>
  </si>
  <si>
    <t>Initiale Laufzeit</t>
  </si>
  <si>
    <t>Geschlossen am</t>
  </si>
  <si>
    <t>USD</t>
  </si>
  <si>
    <t>Name</t>
  </si>
  <si>
    <t>ConocoPhillips</t>
  </si>
  <si>
    <t>SPDR S&amp;P Regional Banking ETF</t>
  </si>
  <si>
    <t>The Progressive Corporation</t>
  </si>
  <si>
    <t>STORE Capital Corporation</t>
  </si>
  <si>
    <t>Twitter</t>
  </si>
  <si>
    <t>Netgear</t>
  </si>
  <si>
    <t>Ebay</t>
  </si>
  <si>
    <t>MGM Resorts International</t>
  </si>
  <si>
    <t>Simon Property Group, Inc.</t>
  </si>
  <si>
    <t>iRobot Corporation</t>
  </si>
  <si>
    <t>Geschlossen
 zu</t>
  </si>
  <si>
    <t>Gebühren-Struktur</t>
  </si>
  <si>
    <t>Transaktionsgebühren Gesamt</t>
  </si>
  <si>
    <t>Offene und realisierte Prämien in $</t>
  </si>
  <si>
    <t>Im Bereich "Die STILLHALTER-Brief Performance-Übersicht" oben rechts</t>
  </si>
  <si>
    <t>Die meisten Felder sind selbsterklärend. Die, die es vielleicht nicht sind, werden wie folgt erklärt:</t>
  </si>
  <si>
    <t>Mein Depot-Wert beim Start</t>
  </si>
  <si>
    <t>Aktueller Depot-Wert (inkl. aller Prämien)</t>
  </si>
  <si>
    <t>Das ist der Depot-Wert, der sowohl die bereits realisierten Gewinne der geschlossenen Trades als auch die offenen Prämien berücksichtigt. Dieser Wert rechnet automatisch die US-Dollar Prämien in Euro um.</t>
  </si>
  <si>
    <t>Hier trägst du den Depot-Wert ein, als du mit der Strategie angefangen hast. Das ist auch das einzige Feld in diesem Bereich, in das du etwas selbst eintragen musst!</t>
  </si>
  <si>
    <t>Im Bereich "GEBÜHREN-STRUKTUR" direkt darunter</t>
  </si>
  <si>
    <t>Das Feld "EUR/USD" direkt darunter</t>
  </si>
  <si>
    <t>Im Bereich "Das STILLHALTER-Brief TRADING-LOGBUCH"</t>
  </si>
  <si>
    <t>Der Name des Basiswertes</t>
  </si>
  <si>
    <t>Summe der realisierten Gewinne in $</t>
  </si>
  <si>
    <t>Transaktionsgebühr</t>
  </si>
  <si>
    <t>Transaktionsgebühr 2</t>
  </si>
  <si>
    <t>Put o. Call</t>
  </si>
  <si>
    <t>Stk.</t>
  </si>
  <si>
    <t>Verfallstag</t>
  </si>
  <si>
    <t>Southwest Airlines</t>
  </si>
  <si>
    <t>Transaktionsgebühr Pauschal in $</t>
  </si>
  <si>
    <t>Spalte1</t>
  </si>
  <si>
    <t>Spalte2</t>
  </si>
  <si>
    <t>Geschlossen zu</t>
  </si>
  <si>
    <t>Ansonsten änderst du auf diesem Blatt bitte nichts. Es dient einzig dazu, den aktuellen Wechselkurs zu beziehen.</t>
  </si>
  <si>
    <t>Der Tag, an dem du den Trade eröffnest. Die Tabelle ist übrigens nach diesem Datum sortiert: Die neuesten Trades erscheinen ganz oben, die ältesten ganz unten. Diese Sortierung kannst du bei Bedarf natürlich ändern</t>
  </si>
  <si>
    <t>Diese Spalte berechnet automatisch die Transaktionsgebühr für die Eröffnung des Trades. Die Anzahl der gehandelten Kontrakte wird mit der pauschalen Transaktionsgebühr, die du weiter oben eingepflegt hast, multipliziert. Du kannst dieses Feld aber auch mit einer anderen Zahl überschreiben.</t>
  </si>
  <si>
    <t>Das Datum, an dem du den Trade schließt bzw. die Option(en) zurückkaufst</t>
  </si>
  <si>
    <t>Die Summe der Prämien und Einsätze der noch offenen Trades</t>
  </si>
  <si>
    <t>EUR</t>
  </si>
  <si>
    <t>AMD</t>
  </si>
  <si>
    <t>Advanced Micro Devices, Inc.</t>
  </si>
  <si>
    <t>Die Prämie je Kontrakt multipliziert mit der Anzahl der gehandelten Kontrakte ("Stück") abzgl. der Transaktionsgebühren.</t>
  </si>
  <si>
    <t>Bei der Eröffnung der Excel-Datei erscheinen möglicherweise einige Hinweise, die du anklicken solltest:</t>
  </si>
  <si>
    <t>Diesen Hinweis bestätigst du mit einem Klick auf "Weiter":</t>
  </si>
  <si>
    <t>Hier klicke rechts auf "Bearbeitung aktivieren":</t>
  </si>
  <si>
    <t>Hier klicke rechts auf "Inhalt aktivieren":</t>
  </si>
  <si>
    <t>Dieser Bereich fasst die Performance deines Depots zusammen. Die Gewinne berücksichtigen bereits die Transaktionsgebühren.</t>
  </si>
  <si>
    <r>
      <t xml:space="preserve">Hier kannst du deine individuelle pauschale Transaktionsgebühr bei deinem Broker hinterlegen, und zwar </t>
    </r>
    <r>
      <rPr>
        <b/>
        <sz val="11"/>
        <color theme="1"/>
        <rFont val="Calibri"/>
        <family val="2"/>
        <scheme val="minor"/>
      </rPr>
      <t xml:space="preserve">pro Kontrakt </t>
    </r>
    <r>
      <rPr>
        <sz val="11"/>
        <color theme="1"/>
        <rFont val="Calibri"/>
        <family val="2"/>
        <scheme val="minor"/>
      </rPr>
      <t>und</t>
    </r>
    <r>
      <rPr>
        <b/>
        <sz val="11"/>
        <color theme="1"/>
        <rFont val="Calibri"/>
        <family val="2"/>
        <scheme val="minor"/>
      </rPr>
      <t xml:space="preserve"> pro Transkation</t>
    </r>
    <r>
      <rPr>
        <sz val="11"/>
        <color theme="1"/>
        <rFont val="Calibri"/>
        <family val="2"/>
        <scheme val="minor"/>
      </rPr>
      <t xml:space="preserve"> (Kauf bzw. Verkauf). Beispiel: Du eröffnest 2 Kontrakte und kaufst später diese 2 Kontrakte zur Schließung zurück. 
Die pauschale Transaktionsgebühr wird mit 4 multipliziert, um die gesamten Transaktionsgebühren zu ermitteln. Würdest du den Trade automatisch verfallen lassen, würde die pauschale Transaktionsgebühr mit 2 multipliziert werden, 
da für den Verfall keine Kosten anfallen. Du kannst dieses Feld aber auch leer lassen. 
Zusatzinfo: Manchmal werden von der Pauschale leicht abweichende Gebühren für einen Trade abgezogen. Wenn du das feststellen solltest, kannst du die entsprechende Zelle einfach manuell mit der tatsächlich einbehaltenen Gebühr überschreiben.</t>
    </r>
  </si>
  <si>
    <t xml:space="preserve">Um hier den tagesaktuellen Wechselkurs zu erhalten, wechsle bitte auf den Reiter "Umrechnung EUR.USD". Dort kannst du unter "Daten" den Button "Alle aktualisieren" betätigen. 
Dann dauert es einen Moment und Excel holt sich über die Verknüpfung den aktuellen Kurs. </t>
  </si>
  <si>
    <t>Deine Einstiegsprämie für den Trade je Kontrakt</t>
  </si>
  <si>
    <t>Diese Spalte berechnet automatisch die Transaktionsgebühr für die Schließung des Trades. Die Anzahl der gehandelten Kontrakte wird mit der pauschalen Transaktionsgebühr, die du weiter oben eingepflegt hast, multipliziert. Du kannst dieses Feld aber auch mit einer anderen Zahl überschreiben. Wenn die Option automatisch verfällt, ohne aktive Schließung, ist keine Transaktionsgebühr fällig</t>
  </si>
  <si>
    <t>Die Summe der Gewinne aller geschlossenen Trades</t>
  </si>
  <si>
    <t>LVS</t>
  </si>
  <si>
    <t>Las Vegas Sands</t>
  </si>
  <si>
    <t>Energy Sel. Sec. ETF</t>
  </si>
  <si>
    <t>XLE</t>
  </si>
  <si>
    <t>CPB</t>
  </si>
  <si>
    <t>Campbell Soup Company</t>
  </si>
  <si>
    <t>EEM</t>
  </si>
  <si>
    <t>TUP</t>
  </si>
  <si>
    <t>Tupperware Brands Corporation</t>
  </si>
  <si>
    <t>EWZ</t>
  </si>
  <si>
    <t>iShares MSCI Brazil ETF</t>
  </si>
  <si>
    <r>
      <t xml:space="preserve">Die Kosten für das Schließen der Position je Kontrakt ohne Transaktionsgebühr. </t>
    </r>
    <r>
      <rPr>
        <b/>
        <sz val="11"/>
        <color theme="1"/>
        <rFont val="Calibri"/>
        <family val="2"/>
        <scheme val="minor"/>
      </rPr>
      <t>Wichtig</t>
    </r>
    <r>
      <rPr>
        <sz val="11"/>
        <color theme="1"/>
        <rFont val="Calibri"/>
        <family val="2"/>
        <scheme val="minor"/>
      </rPr>
      <t>: Falls der Trade automatisch verfallen ist, trage hier für den jeweiligen Trade einfach nichts ein</t>
    </r>
  </si>
  <si>
    <t>iShares MSCI Emerg. Markets ETF</t>
  </si>
  <si>
    <r>
      <t xml:space="preserve">Ein Dienst von </t>
    </r>
    <r>
      <rPr>
        <b/>
        <i/>
        <u/>
        <sz val="12"/>
        <color rgb="FFF9B738"/>
        <rFont val="Calibri"/>
        <family val="2"/>
        <scheme val="minor"/>
      </rPr>
      <t>freaky finance:</t>
    </r>
    <r>
      <rPr>
        <b/>
        <u/>
        <sz val="12"/>
        <color rgb="FFF9B738"/>
        <rFont val="Calibri"/>
        <family val="2"/>
        <scheme val="minor"/>
      </rPr>
      <t xml:space="preserve"> Zur STILLHALTER-Brief Produktseite</t>
    </r>
  </si>
  <si>
    <r>
      <t xml:space="preserve">Der Anteil an Gewinner-Trades im Verhältnis zu allen Trades. </t>
    </r>
    <r>
      <rPr>
        <b/>
        <sz val="11"/>
        <color theme="1"/>
        <rFont val="Calibri"/>
        <family val="2"/>
        <scheme val="minor"/>
      </rPr>
      <t>Diese Zelle muss du bitte für dich händisch ausfüllen.</t>
    </r>
    <r>
      <rPr>
        <sz val="11"/>
        <color theme="1"/>
        <rFont val="Calibri"/>
        <family val="2"/>
        <scheme val="minor"/>
      </rPr>
      <t xml:space="preserve"> Sollten wir einen Put rollen müssen, würde der Put einen vorübergehenden Verlust verursachen, der von dem neuen Put wettgemacht wird (wenn der Plan aufgeht, wovon ich ausgehe). Unter dem Strich ist der Gesamttrade bestehend aus dem ersten und dem zweiten Put ein Gewinner. Der erste Put darf nicht als Verlierer gezählt werden. Diese besondere Konstellation lässt sich in Excel nicht einfach mit einer Formel wiederspiegeln, daher sollte die Gewinnerquote per Hand ermittelt werden.</t>
    </r>
  </si>
  <si>
    <t>Sollten wir Aktien eingebucht bekommen und Covered Calls handeln</t>
  </si>
  <si>
    <t>Meine Strategie zeichnet sich dadurch aus, dass wir Cash Secured Puts, die eventuell gegen uns laufen, rollen, bis wir die Gewinnschwelle wieder erreicht haben. Ich rechne mit weniger als 1 % der Fälle, dass uns Aktien eingebucht werden und dass wir "Covered Calls" gegen diese Aktien handeln müssen. Sollte es dennoch passieren, werden die eingebuchten Aktien und die dazugehörigen Covered Calls in die Tabelle nicht eingetragen. Wir führen in diesen seltenen Fällen separat Buch. 
Das Endergebnis des Trades, wenn z.B. die Aktien wieder verkauft werden und die Prämien der Calls zusammenaddiert werden, fügen wir dann in die Zeile des letzten Puts ein, den wir im Rahmen dieses Trades gehandelt hatten. Wir überschreiben an dieser Stelle die Ergebnisse mit dem endgültigen Ergebnis. In diesen seltenen Situationen würde ich dir zeigen, wie ich das Ergebnis in die Tabelle pflege.</t>
  </si>
  <si>
    <t>Hier geht's direkt zum Thema Covered Calls</t>
  </si>
  <si>
    <t>CHF</t>
  </si>
  <si>
    <t>Published by Google Sheets–Missbrauch melden–Updated automatically every 5 minutes</t>
  </si>
  <si>
    <t>Dieses Feld zieht sich den aktuellen Wechselkurs aus dem Blatt Währungsumrechnung. Dieses Feld bitte nicht ändern, wenn deine Basiswährung im Depot EUR ist!</t>
  </si>
  <si>
    <t>Solltest du als Schweizer CHF als Basiswährung nutzen kannst du den Bezug in diesem Feld auf die Währungskurs CHF im Blatt Wärungsrumrechnung ändern. Ebenso kannst du die Bezeichnung des Felds R28 in CHF/USD ändern.</t>
  </si>
  <si>
    <t>WÃ¤hrungskurse - Wechselkurse STILLHALTER-Brief Logbuch : Tabellenblatt1</t>
  </si>
  <si>
    <t>RIOT</t>
  </si>
  <si>
    <t>Gesamt-Prämie</t>
  </si>
  <si>
    <t>Call-Prämie je Kontrakt</t>
  </si>
  <si>
    <t>Verfalls-Datum</t>
  </si>
  <si>
    <t>Eröffnung</t>
  </si>
  <si>
    <t>Anzahl Kontrakte</t>
  </si>
  <si>
    <t>Zeitpunkt der Einbuchung</t>
  </si>
  <si>
    <t>Eröffnung des Trades</t>
  </si>
  <si>
    <t>Einbuchungs-Kurs</t>
  </si>
  <si>
    <t>Aktueller Aktien-Kurs</t>
  </si>
  <si>
    <t>Anzahl</t>
  </si>
  <si>
    <t>Nr.</t>
  </si>
  <si>
    <t>Laufende covered Calls (sofern zutreffend)</t>
  </si>
  <si>
    <t>Eingebuchte Werte</t>
  </si>
  <si>
    <t>Gebundenes Kapital</t>
  </si>
  <si>
    <t>Im Reiter "Eingebucht" kannst du deine eingebuchten Aktien eintragen und den laufenden Covered Call, sofern eröffnet, eintippen.</t>
  </si>
  <si>
    <t>Summe gebundes Kapital:</t>
  </si>
  <si>
    <t>Gewinne/Verluste:</t>
  </si>
  <si>
    <t>Gewinn/Verlust</t>
  </si>
  <si>
    <t>Beim Einbuchungs-Kurs betrachte ich den Basispreis des ausgebübten Puts und ziehe davon alle Prämien ab, die über die Zeit vereinnahmt wurden. Sobald ich Covered Calls auf die Aktie eröffne, trage ich diese in den Spalten rechts ein. Covered Calls werden dazu beitragen, den durchschnittichen Einbuchungs-Kurs weiterhin zu senken. Die vereinnahmten Prämien aus den Covered Calls sollen schrittweise in den Einbuchungs-Kurs berücksichtigt werden. Wenn ich z.B. mit 100 Aktien einen Einbuchungskurs von 20$ hatte und ein Covered Call im nachhinein 50$ an Prämie generiert hat, dann trage ich als neuen Einbuchungs-Kurs 19,50$ ein usw. Die Summe der Gewinne/Verluste (Zelle J2) im Reiter "Eingebucht" wird automatisch im aktuellen Depot-Wert (Zelle S15 im Reiter Trading-Logbuch) berücksichtigt. Sollten die Aktien irgendwann ausgebucht werden, z.B. durch die Ausübung des Covered Calls, trage ich das finale Ergebnis in der Spalte "Gewinn/Verlust" der jeweiligen Aktien ein.</t>
  </si>
  <si>
    <t>Beim Einbuchungs-Kurs betrachte ich den Basispreis des ausgebübten Puts und ziehe davon alle Prämien ab, die über die Zeit vereinnahmt wurden. 
Sobald ich Covered Calls auf die Aktie eröffne, trage ich diese in den Spalten rechts ein. Covered Calls werden dazu beitragen, den durchschnittichen Einbuchungs-Kurs weiterhin zu senken. Die vereinnahmten Prämien aus den Covered Calls sollen schrittweise in den Einbuchungs-Kurs berücksichtigt werden. Wenn ich z.B. mit 100 Aktien einen Einbuchungskurs von 20$ hatte und ein Covered Call im nachhinein 50$ an Prämie generiert hat, dann trage ich als neuen Einbuchungs-Kurs 19,50$ ein usw. 
Die Summe der Gewinne/Verluste (Zelle J2) wird automatisch im aktuellen Depot-Wert (Zelle S15 im Reiter "Trading-Logbuch") berücksichtigt. 
Sollten die Aktien irgendwann ausgebucht werden, z.B. durch die Ausübung des Covered Calls, trage ich das finale Ergebnis in der Spalte "Gewinn/Verlust" der jeweiligen Aktien ein.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</si>
</sst>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64" formatCode="#,##0\$"/>
    <numFmt numFmtId="165" formatCode="0.0%"/>
    <numFmt numFmtId="166" formatCode="#,###.00\$"/>
    <numFmt numFmtId="167" formatCode="#,##0.0"/>
    <numFmt numFmtId="168" formatCode=";;;"/>
    <numFmt numFmtId="169" formatCode="#,##0\ &quot;€&quot;"/>
    <numFmt numFmtId="170" formatCode="#,##0.0000"/>
    <numFmt numFmtId="171" formatCode="#,##0.00\$"/>
    <numFmt numFmtId="172" formatCode="#,##0.00\ &quot;€&quot;"/>
    <numFmt numFmtId="173" formatCode="#,##0.#\$"/>
    <numFmt numFmtId="174" formatCode="##,##0.0##\$"/>
    <numFmt numFmtId="175" formatCode="#,###,###\$"/>
    <numFmt numFmtId="176" formatCode="#,###.#0#\$"/>
    <numFmt numFmtId="177" formatCode="##,###.#0\$"/>
    <numFmt numFmtId="178" formatCode="#,###.#0\$"/>
    <numFmt numFmtId="187" formatCode="##,###\$"/>
  </numFmts>
  <fonts count="23" x14ac:knownFonts="1">
    <font>
      <sz val="11"/>
      <color theme="1"/>
      <name val="Calibri"/>
      <family val="2"/>
      <scheme val="minor"/>
    </font>
    <font>
      <b/>
      <sz val="11"/>
      <color theme="0"/>
      <name val="Calibri"/>
      <family val="2"/>
      <scheme val="minor"/>
    </font>
    <font>
      <b/>
      <sz val="11"/>
      <color theme="1"/>
      <name val="Calibri"/>
      <family val="2"/>
      <scheme val="minor"/>
    </font>
    <font>
      <sz val="8"/>
      <name val="Calibri"/>
      <family val="2"/>
      <scheme val="minor"/>
    </font>
    <font>
      <b/>
      <sz val="12"/>
      <color theme="1"/>
      <name val="Calibri"/>
      <family val="2"/>
      <scheme val="minor"/>
    </font>
    <font>
      <b/>
      <sz val="12"/>
      <color theme="0"/>
      <name val="Calibri"/>
      <family val="2"/>
      <scheme val="minor"/>
    </font>
    <font>
      <b/>
      <sz val="20"/>
      <color rgb="FFF9B738"/>
      <name val="Calibri"/>
      <family val="2"/>
      <scheme val="minor"/>
    </font>
    <font>
      <b/>
      <sz val="12"/>
      <name val="Calibri"/>
      <family val="2"/>
      <scheme val="minor"/>
    </font>
    <font>
      <b/>
      <sz val="14"/>
      <color rgb="FFF9B738"/>
      <name val="Calibri"/>
      <family val="2"/>
      <scheme val="minor"/>
    </font>
    <font>
      <sz val="11"/>
      <color theme="1"/>
      <name val="Calibri"/>
      <family val="2"/>
      <scheme val="minor"/>
    </font>
    <font>
      <sz val="11"/>
      <name val="Calibri"/>
      <family val="2"/>
      <scheme val="minor"/>
    </font>
    <font>
      <sz val="11"/>
      <color rgb="FFFF0000"/>
      <name val="Calibri"/>
      <family val="2"/>
      <scheme val="minor"/>
    </font>
    <font>
      <b/>
      <sz val="11"/>
      <color theme="0"/>
      <name val="Calibri"/>
      <family val="2"/>
      <scheme val="minor"/>
    </font>
    <font>
      <sz val="8"/>
      <color theme="1"/>
      <name val="Calibri"/>
      <family val="2"/>
      <scheme val="minor"/>
    </font>
    <font>
      <u/>
      <sz val="11"/>
      <color theme="10"/>
      <name val="Calibri"/>
      <family val="2"/>
      <scheme val="minor"/>
    </font>
    <font>
      <b/>
      <u/>
      <sz val="12"/>
      <color rgb="FFF9B738"/>
      <name val="Calibri"/>
      <family val="2"/>
      <scheme val="minor"/>
    </font>
    <font>
      <b/>
      <u/>
      <sz val="12"/>
      <color theme="10"/>
      <name val="Calibri"/>
      <family val="2"/>
      <scheme val="minor"/>
    </font>
    <font>
      <b/>
      <sz val="11"/>
      <color theme="0"/>
      <name val="Calibri"/>
      <family val="2"/>
      <scheme val="minor"/>
    </font>
    <font>
      <b/>
      <i/>
      <u/>
      <sz val="12"/>
      <color rgb="FFF9B738"/>
      <name val="Calibri"/>
      <family val="2"/>
      <scheme val="minor"/>
    </font>
    <font>
      <b/>
      <sz val="10"/>
      <color theme="1"/>
      <name val="Calibri"/>
      <family val="2"/>
      <scheme val="minor"/>
    </font>
    <font>
      <sz val="10"/>
      <color theme="1"/>
      <name val="Calibri"/>
      <family val="2"/>
      <scheme val="minor"/>
    </font>
    <font>
      <sz val="10"/>
      <name val="Calibri"/>
      <family val="2"/>
      <scheme val="minor"/>
    </font>
    <font>
      <b/>
      <sz val="11"/>
      <name val="Calibri"/>
      <family val="2"/>
      <scheme val="minor"/>
    </font>
  </fonts>
  <fills count="7">
    <fill>
      <patternFill patternType="none"/>
    </fill>
    <fill>
      <patternFill patternType="gray125"/>
    </fill>
    <fill>
      <patternFill patternType="solid">
        <fgColor rgb="FFA2A3A4"/>
        <bgColor indexed="64"/>
      </patternFill>
    </fill>
    <fill>
      <patternFill patternType="solid">
        <fgColor rgb="FFF9B738"/>
        <bgColor indexed="64"/>
      </patternFill>
    </fill>
    <fill>
      <patternFill patternType="solid">
        <fgColor rgb="FF3E3E3E"/>
        <bgColor indexed="64"/>
      </patternFill>
    </fill>
    <fill>
      <patternFill patternType="solid">
        <fgColor theme="0"/>
        <bgColor indexed="64"/>
      </patternFill>
    </fill>
    <fill>
      <patternFill patternType="solid">
        <fgColor theme="0" tint="-0.14999847407452621"/>
        <bgColor indexed="64"/>
      </patternFill>
    </fill>
  </fills>
  <borders count="3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hair">
        <color indexed="64"/>
      </left>
      <right style="hair">
        <color indexed="64"/>
      </right>
      <top/>
      <bottom/>
      <diagonal/>
    </border>
    <border>
      <left style="hair">
        <color indexed="64"/>
      </left>
      <right style="hair">
        <color indexed="64"/>
      </right>
      <top/>
      <bottom style="medium">
        <color indexed="64"/>
      </bottom>
      <diagonal/>
    </border>
    <border>
      <left style="medium">
        <color indexed="64"/>
      </left>
      <right style="hair">
        <color indexed="64"/>
      </right>
      <top/>
      <bottom/>
      <diagonal/>
    </border>
    <border>
      <left style="hair">
        <color indexed="64"/>
      </left>
      <right style="medium">
        <color indexed="64"/>
      </right>
      <top/>
      <bottom/>
      <diagonal/>
    </border>
    <border>
      <left style="medium">
        <color indexed="64"/>
      </left>
      <right style="hair">
        <color indexed="64"/>
      </right>
      <top/>
      <bottom style="medium">
        <color indexed="64"/>
      </bottom>
      <diagonal/>
    </border>
    <border>
      <left style="hair">
        <color indexed="64"/>
      </left>
      <right style="medium">
        <color indexed="64"/>
      </right>
      <top/>
      <bottom style="medium">
        <color indexed="64"/>
      </bottom>
      <diagonal/>
    </border>
    <border>
      <left/>
      <right style="hair">
        <color indexed="64"/>
      </right>
      <top/>
      <bottom/>
      <diagonal/>
    </border>
    <border>
      <left style="hair">
        <color indexed="64"/>
      </left>
      <right/>
      <top/>
      <bottom/>
      <diagonal/>
    </border>
    <border>
      <left style="medium">
        <color rgb="FFCCCCCC"/>
      </left>
      <right style="medium">
        <color rgb="FFCCCCCC"/>
      </right>
      <top style="medium">
        <color rgb="FFCCCCCC"/>
      </top>
      <bottom style="medium">
        <color rgb="FFCCCCCC"/>
      </bottom>
      <diagonal/>
    </border>
    <border>
      <left style="medium">
        <color rgb="FFCCCCCC"/>
      </left>
      <right/>
      <top style="medium">
        <color rgb="FFCCCCCC"/>
      </top>
      <bottom style="medium">
        <color rgb="FFCCCCCC"/>
      </bottom>
      <diagonal/>
    </border>
    <border>
      <left/>
      <right/>
      <top style="medium">
        <color rgb="FFCCCCCC"/>
      </top>
      <bottom style="medium">
        <color rgb="FFCCCCCC"/>
      </bottom>
      <diagonal/>
    </border>
    <border>
      <left/>
      <right style="medium">
        <color rgb="FFCCCCCC"/>
      </right>
      <top style="medium">
        <color rgb="FFCCCCCC"/>
      </top>
      <bottom style="medium">
        <color rgb="FFCCCCCC"/>
      </bottom>
      <diagonal/>
    </border>
    <border>
      <left style="medium">
        <color rgb="FFCCCCCC"/>
      </left>
      <right/>
      <top style="medium">
        <color rgb="FFCCCCCC"/>
      </top>
      <bottom/>
      <diagonal/>
    </border>
    <border>
      <left/>
      <right/>
      <top style="medium">
        <color rgb="FFCCCCCC"/>
      </top>
      <bottom/>
      <diagonal/>
    </border>
    <border>
      <left/>
      <right style="medium">
        <color rgb="FFCCCCCC"/>
      </right>
      <top style="medium">
        <color rgb="FFCCCCCC"/>
      </top>
      <bottom/>
      <diagonal/>
    </border>
    <border>
      <left style="medium">
        <color rgb="FFCCCCCC"/>
      </left>
      <right/>
      <top/>
      <bottom/>
      <diagonal/>
    </border>
    <border>
      <left/>
      <right style="medium">
        <color rgb="FFCCCCCC"/>
      </right>
      <top/>
      <bottom/>
      <diagonal/>
    </border>
    <border>
      <left style="medium">
        <color rgb="FFCCCCCC"/>
      </left>
      <right/>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s>
  <cellStyleXfs count="3">
    <xf numFmtId="0" fontId="0" fillId="0" borderId="0"/>
    <xf numFmtId="9" fontId="9" fillId="0" borderId="0" applyFont="0" applyFill="0" applyBorder="0" applyAlignment="0" applyProtection="0"/>
    <xf numFmtId="0" fontId="14" fillId="0" borderId="0" applyNumberFormat="0" applyFill="0" applyBorder="0" applyAlignment="0" applyProtection="0"/>
  </cellStyleXfs>
  <cellXfs count="152">
    <xf numFmtId="0" fontId="0" fillId="0" borderId="0" xfId="0"/>
    <xf numFmtId="0" fontId="0" fillId="0" borderId="1" xfId="0" applyBorder="1" applyAlignment="1">
      <alignment horizontal="center" vertical="center"/>
    </xf>
    <xf numFmtId="0" fontId="0" fillId="0" borderId="2" xfId="0" applyBorder="1" applyAlignment="1">
      <alignment horizontal="center" vertical="center"/>
    </xf>
    <xf numFmtId="0" fontId="0" fillId="0" borderId="2" xfId="0" applyBorder="1" applyAlignment="1">
      <alignment horizontal="center" vertical="center" wrapText="1"/>
    </xf>
    <xf numFmtId="0" fontId="0" fillId="0" borderId="3" xfId="0" applyBorder="1" applyAlignment="1">
      <alignment horizontal="center" vertical="center"/>
    </xf>
    <xf numFmtId="0" fontId="0" fillId="0" borderId="1" xfId="0" applyBorder="1" applyAlignment="1">
      <alignment horizontal="center" vertical="center" wrapText="1"/>
    </xf>
    <xf numFmtId="0" fontId="0" fillId="0" borderId="3" xfId="0" applyBorder="1" applyAlignment="1">
      <alignment horizontal="center" vertical="center" wrapText="1"/>
    </xf>
    <xf numFmtId="0" fontId="0" fillId="2" borderId="0" xfId="0" applyFill="1"/>
    <xf numFmtId="0" fontId="2" fillId="0" borderId="0" xfId="0" applyFont="1"/>
    <xf numFmtId="0" fontId="8" fillId="4" borderId="0" xfId="0" applyFont="1" applyFill="1"/>
    <xf numFmtId="0" fontId="10" fillId="0" borderId="0" xfId="0" applyFont="1"/>
    <xf numFmtId="0" fontId="0" fillId="0" borderId="0" xfId="0" applyAlignment="1">
      <alignment horizontal="left"/>
    </xf>
    <xf numFmtId="0" fontId="0" fillId="0" borderId="0" xfId="0" applyProtection="1">
      <protection locked="0"/>
    </xf>
    <xf numFmtId="15" fontId="0" fillId="0" borderId="0" xfId="0" applyNumberFormat="1" applyAlignment="1" applyProtection="1">
      <alignment horizontal="center"/>
      <protection locked="0"/>
    </xf>
    <xf numFmtId="0" fontId="0" fillId="0" borderId="0" xfId="0" applyAlignment="1" applyProtection="1">
      <alignment horizontal="center"/>
      <protection locked="0"/>
    </xf>
    <xf numFmtId="15" fontId="4" fillId="3" borderId="1" xfId="0" applyNumberFormat="1" applyFont="1" applyFill="1" applyBorder="1" applyAlignment="1" applyProtection="1">
      <protection locked="0"/>
    </xf>
    <xf numFmtId="15" fontId="4" fillId="3" borderId="4" xfId="0" applyNumberFormat="1" applyFont="1" applyFill="1" applyBorder="1" applyAlignment="1" applyProtection="1">
      <protection locked="0"/>
    </xf>
    <xf numFmtId="164" fontId="5" fillId="2" borderId="3" xfId="0" applyNumberFormat="1" applyFont="1" applyFill="1" applyBorder="1" applyAlignment="1" applyProtection="1">
      <alignment horizontal="center"/>
    </xf>
    <xf numFmtId="164" fontId="5" fillId="2" borderId="7" xfId="0" applyNumberFormat="1" applyFont="1" applyFill="1" applyBorder="1" applyAlignment="1" applyProtection="1">
      <alignment horizontal="center"/>
    </xf>
    <xf numFmtId="0" fontId="0" fillId="0" borderId="0" xfId="0" applyProtection="1"/>
    <xf numFmtId="3" fontId="5" fillId="2" borderId="3" xfId="0" applyNumberFormat="1" applyFont="1" applyFill="1" applyBorder="1" applyAlignment="1" applyProtection="1">
      <alignment horizontal="center"/>
    </xf>
    <xf numFmtId="14" fontId="5" fillId="2" borderId="3" xfId="0" applyNumberFormat="1" applyFont="1" applyFill="1" applyBorder="1" applyAlignment="1" applyProtection="1">
      <alignment horizontal="center"/>
    </xf>
    <xf numFmtId="164" fontId="5" fillId="2" borderId="9" xfId="0" applyNumberFormat="1" applyFont="1" applyFill="1" applyBorder="1" applyAlignment="1" applyProtection="1">
      <alignment horizontal="center"/>
    </xf>
    <xf numFmtId="164" fontId="5" fillId="2" borderId="2" xfId="0" applyNumberFormat="1" applyFont="1" applyFill="1" applyBorder="1" applyAlignment="1" applyProtection="1">
      <alignment horizontal="center"/>
    </xf>
    <xf numFmtId="0" fontId="5" fillId="2" borderId="3" xfId="0" applyFont="1" applyFill="1" applyBorder="1" applyAlignment="1" applyProtection="1">
      <alignment horizontal="center"/>
    </xf>
    <xf numFmtId="166" fontId="5" fillId="2" borderId="5" xfId="0" applyNumberFormat="1" applyFont="1" applyFill="1" applyBorder="1" applyAlignment="1" applyProtection="1">
      <alignment horizontal="center"/>
    </xf>
    <xf numFmtId="167" fontId="5" fillId="2" borderId="5" xfId="0" applyNumberFormat="1" applyFont="1" applyFill="1" applyBorder="1" applyAlignment="1" applyProtection="1">
      <alignment horizontal="center"/>
    </xf>
    <xf numFmtId="165" fontId="5" fillId="2" borderId="6" xfId="0" applyNumberFormat="1" applyFont="1" applyFill="1" applyBorder="1" applyAlignment="1" applyProtection="1">
      <alignment horizontal="center"/>
    </xf>
    <xf numFmtId="169" fontId="5" fillId="2" borderId="6" xfId="0" applyNumberFormat="1" applyFont="1" applyFill="1" applyBorder="1" applyAlignment="1" applyProtection="1">
      <alignment horizontal="center" vertical="center" wrapText="1"/>
    </xf>
    <xf numFmtId="0" fontId="0" fillId="0" borderId="0" xfId="0" applyAlignment="1">
      <alignment vertical="center"/>
    </xf>
    <xf numFmtId="0" fontId="10" fillId="0" borderId="0" xfId="0" applyFont="1" applyAlignment="1">
      <alignment vertical="center"/>
    </xf>
    <xf numFmtId="169" fontId="7" fillId="5" borderId="7" xfId="0" applyNumberFormat="1" applyFont="1" applyFill="1" applyBorder="1" applyAlignment="1" applyProtection="1">
      <alignment horizontal="center" vertical="center" wrapText="1"/>
    </xf>
    <xf numFmtId="15" fontId="0" fillId="0" borderId="10" xfId="0" applyNumberFormat="1" applyBorder="1" applyAlignment="1" applyProtection="1">
      <alignment horizontal="center" vertical="center"/>
      <protection locked="0"/>
    </xf>
    <xf numFmtId="15" fontId="13" fillId="0" borderId="10" xfId="0" applyNumberFormat="1" applyFont="1" applyBorder="1" applyAlignment="1" applyProtection="1">
      <alignment horizontal="center" vertical="center" wrapText="1"/>
      <protection locked="0"/>
    </xf>
    <xf numFmtId="0" fontId="0" fillId="0" borderId="10" xfId="0" applyBorder="1" applyAlignment="1" applyProtection="1">
      <alignment horizontal="center" vertical="center"/>
      <protection locked="0"/>
    </xf>
    <xf numFmtId="166" fontId="0" fillId="0" borderId="10" xfId="0" applyNumberFormat="1" applyBorder="1" applyAlignment="1" applyProtection="1">
      <alignment horizontal="center" vertical="center"/>
      <protection locked="0"/>
    </xf>
    <xf numFmtId="166" fontId="12" fillId="2" borderId="10" xfId="0" applyNumberFormat="1" applyFont="1" applyFill="1" applyBorder="1" applyAlignment="1" applyProtection="1">
      <alignment horizontal="center" vertical="center"/>
    </xf>
    <xf numFmtId="164" fontId="12" fillId="2" borderId="10" xfId="0" applyNumberFormat="1" applyFont="1" applyFill="1" applyBorder="1" applyAlignment="1" applyProtection="1">
      <alignment horizontal="center" vertical="center"/>
    </xf>
    <xf numFmtId="0" fontId="12" fillId="2" borderId="10" xfId="0" applyNumberFormat="1" applyFont="1" applyFill="1" applyBorder="1" applyAlignment="1" applyProtection="1">
      <alignment horizontal="center" vertical="center"/>
    </xf>
    <xf numFmtId="1" fontId="1" fillId="2" borderId="10" xfId="0" applyNumberFormat="1" applyFont="1" applyFill="1" applyBorder="1" applyAlignment="1" applyProtection="1">
      <alignment horizontal="center" vertical="center"/>
    </xf>
    <xf numFmtId="166" fontId="1" fillId="2" borderId="10" xfId="0" applyNumberFormat="1" applyFont="1" applyFill="1" applyBorder="1" applyAlignment="1" applyProtection="1">
      <alignment horizontal="center" vertical="center"/>
    </xf>
    <xf numFmtId="164" fontId="1" fillId="2" borderId="10" xfId="0" applyNumberFormat="1" applyFont="1" applyFill="1" applyBorder="1" applyAlignment="1" applyProtection="1">
      <alignment horizontal="center" vertical="center"/>
    </xf>
    <xf numFmtId="0" fontId="1" fillId="2" borderId="10" xfId="0" applyNumberFormat="1" applyFont="1" applyFill="1" applyBorder="1" applyAlignment="1" applyProtection="1">
      <alignment horizontal="center" vertical="center"/>
    </xf>
    <xf numFmtId="0" fontId="1" fillId="2" borderId="10" xfId="0" applyFont="1" applyFill="1" applyBorder="1" applyAlignment="1" applyProtection="1">
      <alignment horizontal="center" vertical="center"/>
    </xf>
    <xf numFmtId="0" fontId="0" fillId="0" borderId="11" xfId="0" applyBorder="1" applyAlignment="1" applyProtection="1">
      <alignment horizontal="center" vertical="center"/>
      <protection locked="0"/>
    </xf>
    <xf numFmtId="166" fontId="0" fillId="0" borderId="11" xfId="0" applyNumberFormat="1" applyBorder="1" applyAlignment="1" applyProtection="1">
      <alignment horizontal="center" vertical="center"/>
      <protection locked="0"/>
    </xf>
    <xf numFmtId="15" fontId="0" fillId="0" borderId="11" xfId="0" applyNumberFormat="1" applyBorder="1" applyAlignment="1" applyProtection="1">
      <alignment horizontal="center" vertical="center"/>
      <protection locked="0"/>
    </xf>
    <xf numFmtId="166" fontId="1" fillId="2" borderId="11" xfId="0" applyNumberFormat="1" applyFont="1" applyFill="1" applyBorder="1" applyAlignment="1" applyProtection="1">
      <alignment horizontal="center" vertical="center"/>
    </xf>
    <xf numFmtId="164" fontId="1" fillId="2" borderId="11" xfId="0" applyNumberFormat="1" applyFont="1" applyFill="1" applyBorder="1" applyAlignment="1" applyProtection="1">
      <alignment horizontal="center" vertical="center"/>
    </xf>
    <xf numFmtId="0" fontId="1" fillId="2" borderId="11" xfId="0" applyFont="1" applyFill="1" applyBorder="1" applyAlignment="1" applyProtection="1">
      <alignment horizontal="center" vertical="center"/>
    </xf>
    <xf numFmtId="165" fontId="12" fillId="2" borderId="13" xfId="0" applyNumberFormat="1" applyFont="1" applyFill="1" applyBorder="1" applyAlignment="1" applyProtection="1">
      <alignment horizontal="center" vertical="center"/>
    </xf>
    <xf numFmtId="165" fontId="1" fillId="2" borderId="13" xfId="0" applyNumberFormat="1" applyFont="1" applyFill="1" applyBorder="1" applyAlignment="1" applyProtection="1">
      <alignment horizontal="center" vertical="center"/>
    </xf>
    <xf numFmtId="1" fontId="1" fillId="2" borderId="11" xfId="0" applyNumberFormat="1" applyFont="1" applyFill="1" applyBorder="1" applyAlignment="1" applyProtection="1">
      <alignment horizontal="center" vertical="center"/>
    </xf>
    <xf numFmtId="165" fontId="1" fillId="2" borderId="15" xfId="0" applyNumberFormat="1" applyFont="1" applyFill="1" applyBorder="1" applyAlignment="1" applyProtection="1">
      <alignment horizontal="center" vertical="center"/>
    </xf>
    <xf numFmtId="2" fontId="7" fillId="5" borderId="7" xfId="1" applyNumberFormat="1" applyFont="1" applyFill="1" applyBorder="1" applyAlignment="1" applyProtection="1">
      <alignment horizontal="center"/>
    </xf>
    <xf numFmtId="15" fontId="2" fillId="0" borderId="12" xfId="0" applyNumberFormat="1" applyFont="1" applyBorder="1" applyAlignment="1" applyProtection="1">
      <alignment horizontal="center" vertical="center"/>
      <protection locked="0"/>
    </xf>
    <xf numFmtId="0" fontId="2" fillId="0" borderId="12" xfId="0" applyFont="1" applyBorder="1" applyAlignment="1" applyProtection="1">
      <alignment horizontal="center" vertical="center"/>
      <protection locked="0"/>
    </xf>
    <xf numFmtId="0" fontId="2" fillId="0" borderId="14" xfId="0" applyFont="1" applyBorder="1" applyAlignment="1" applyProtection="1">
      <alignment horizontal="center" vertical="center"/>
      <protection locked="0"/>
    </xf>
    <xf numFmtId="1" fontId="12" fillId="2" borderId="10" xfId="0" applyNumberFormat="1" applyFont="1" applyFill="1" applyBorder="1" applyAlignment="1" applyProtection="1">
      <alignment horizontal="center" vertical="center"/>
    </xf>
    <xf numFmtId="169" fontId="5" fillId="5" borderId="0" xfId="0" applyNumberFormat="1" applyFont="1" applyFill="1" applyAlignment="1">
      <alignment horizontal="center"/>
    </xf>
    <xf numFmtId="0" fontId="7" fillId="3" borderId="8" xfId="0" applyFont="1" applyFill="1" applyBorder="1" applyAlignment="1"/>
    <xf numFmtId="170" fontId="5" fillId="2" borderId="7" xfId="0" applyNumberFormat="1" applyFont="1" applyFill="1" applyBorder="1" applyAlignment="1" applyProtection="1">
      <alignment horizontal="center"/>
    </xf>
    <xf numFmtId="0" fontId="4" fillId="0" borderId="0" xfId="0" applyFont="1" applyAlignment="1">
      <alignment horizontal="right"/>
    </xf>
    <xf numFmtId="0" fontId="6" fillId="4" borderId="0" xfId="0" applyFont="1" applyFill="1" applyAlignment="1">
      <alignment horizontal="center" vertical="center"/>
    </xf>
    <xf numFmtId="168" fontId="0" fillId="0" borderId="0" xfId="0" applyNumberFormat="1" applyAlignment="1">
      <alignment horizontal="center" vertical="center"/>
    </xf>
    <xf numFmtId="171" fontId="5" fillId="2" borderId="7" xfId="0" applyNumberFormat="1" applyFont="1" applyFill="1" applyBorder="1" applyAlignment="1" applyProtection="1">
      <alignment horizontal="center"/>
    </xf>
    <xf numFmtId="10" fontId="5" fillId="2" borderId="7" xfId="1" applyNumberFormat="1" applyFont="1" applyFill="1" applyBorder="1" applyAlignment="1" applyProtection="1">
      <alignment horizontal="center"/>
    </xf>
    <xf numFmtId="166" fontId="1" fillId="2" borderId="17" xfId="0" applyNumberFormat="1" applyFont="1" applyFill="1" applyBorder="1" applyAlignment="1" applyProtection="1">
      <alignment horizontal="center" vertical="center"/>
    </xf>
    <xf numFmtId="164" fontId="1" fillId="2" borderId="16" xfId="0" applyNumberFormat="1" applyFont="1" applyFill="1" applyBorder="1" applyAlignment="1" applyProtection="1">
      <alignment horizontal="center" vertical="center"/>
    </xf>
    <xf numFmtId="15" fontId="0" fillId="0" borderId="17" xfId="0" applyNumberFormat="1" applyBorder="1" applyAlignment="1" applyProtection="1">
      <alignment horizontal="center" vertical="center"/>
      <protection locked="0"/>
    </xf>
    <xf numFmtId="166" fontId="0" fillId="0" borderId="16" xfId="0" applyNumberFormat="1" applyBorder="1" applyAlignment="1" applyProtection="1">
      <alignment horizontal="center" vertical="center"/>
      <protection locked="0"/>
    </xf>
    <xf numFmtId="15" fontId="13" fillId="0" borderId="11" xfId="0" applyNumberFormat="1" applyFont="1" applyBorder="1" applyAlignment="1" applyProtection="1">
      <alignment horizontal="center" vertical="center" wrapText="1"/>
      <protection locked="0"/>
    </xf>
    <xf numFmtId="172" fontId="5" fillId="5" borderId="0" xfId="0" applyNumberFormat="1" applyFont="1" applyFill="1" applyBorder="1" applyAlignment="1" applyProtection="1">
      <alignment horizontal="center" vertical="center" wrapText="1"/>
    </xf>
    <xf numFmtId="173" fontId="5" fillId="2" borderId="3" xfId="0" applyNumberFormat="1" applyFont="1" applyFill="1" applyBorder="1" applyAlignment="1" applyProtection="1">
      <alignment horizontal="center"/>
    </xf>
    <xf numFmtId="165" fontId="5" fillId="2" borderId="3" xfId="1" applyNumberFormat="1" applyFont="1" applyFill="1" applyBorder="1" applyAlignment="1" applyProtection="1">
      <alignment horizontal="center"/>
    </xf>
    <xf numFmtId="174" fontId="1" fillId="2" borderId="10" xfId="0" applyNumberFormat="1" applyFont="1" applyFill="1" applyBorder="1" applyAlignment="1" applyProtection="1">
      <alignment horizontal="center" vertical="center"/>
      <protection locked="0"/>
    </xf>
    <xf numFmtId="174" fontId="1" fillId="2" borderId="11" xfId="0" applyNumberFormat="1" applyFont="1" applyFill="1" applyBorder="1" applyAlignment="1" applyProtection="1">
      <alignment horizontal="center" vertical="center"/>
      <protection locked="0"/>
    </xf>
    <xf numFmtId="0" fontId="0" fillId="0" borderId="0" xfId="0" applyAlignment="1">
      <alignment horizontal="left" vertical="center" wrapText="1"/>
    </xf>
    <xf numFmtId="0" fontId="0" fillId="0" borderId="0" xfId="0" applyAlignment="1"/>
    <xf numFmtId="1" fontId="17" fillId="2" borderId="10" xfId="0" applyNumberFormat="1" applyFont="1" applyFill="1" applyBorder="1" applyAlignment="1" applyProtection="1">
      <alignment horizontal="center" vertical="center"/>
    </xf>
    <xf numFmtId="166" fontId="17" fillId="2" borderId="17" xfId="0" applyNumberFormat="1" applyFont="1" applyFill="1" applyBorder="1" applyAlignment="1" applyProtection="1">
      <alignment horizontal="center" vertical="center"/>
    </xf>
    <xf numFmtId="174" fontId="17" fillId="2" borderId="10" xfId="0" applyNumberFormat="1" applyFont="1" applyFill="1" applyBorder="1" applyAlignment="1" applyProtection="1">
      <alignment horizontal="center" vertical="center"/>
      <protection locked="0"/>
    </xf>
    <xf numFmtId="164" fontId="17" fillId="2" borderId="16" xfId="0" applyNumberFormat="1" applyFont="1" applyFill="1" applyBorder="1" applyAlignment="1" applyProtection="1">
      <alignment horizontal="center" vertical="center"/>
    </xf>
    <xf numFmtId="164" fontId="17" fillId="2" borderId="10" xfId="0" applyNumberFormat="1" applyFont="1" applyFill="1" applyBorder="1" applyAlignment="1" applyProtection="1">
      <alignment horizontal="center" vertical="center"/>
    </xf>
    <xf numFmtId="0" fontId="17" fillId="2" borderId="10" xfId="0" applyNumberFormat="1" applyFont="1" applyFill="1" applyBorder="1" applyAlignment="1" applyProtection="1">
      <alignment horizontal="center" vertical="center"/>
    </xf>
    <xf numFmtId="0" fontId="0" fillId="0" borderId="0" xfId="0" applyAlignment="1">
      <alignment horizontal="center"/>
    </xf>
    <xf numFmtId="0" fontId="0" fillId="0" borderId="0" xfId="0" applyAlignment="1">
      <alignment horizontal="center" vertical="center"/>
    </xf>
    <xf numFmtId="0" fontId="2" fillId="0" borderId="0" xfId="0" applyFont="1" applyAlignment="1">
      <alignment vertical="center"/>
    </xf>
    <xf numFmtId="0" fontId="0" fillId="0" borderId="18" xfId="0" applyBorder="1" applyAlignment="1">
      <alignment wrapText="1"/>
    </xf>
    <xf numFmtId="0" fontId="4" fillId="0" borderId="0" xfId="0" applyFont="1" applyAlignment="1">
      <alignment horizontal="right"/>
    </xf>
    <xf numFmtId="0" fontId="7" fillId="5" borderId="0" xfId="0" applyFont="1" applyFill="1" applyBorder="1" applyAlignment="1">
      <alignment horizontal="left"/>
    </xf>
    <xf numFmtId="0" fontId="8" fillId="4" borderId="0" xfId="0" applyFont="1" applyFill="1" applyAlignment="1">
      <alignment horizontal="center" vertical="center"/>
    </xf>
    <xf numFmtId="0" fontId="7" fillId="3" borderId="8" xfId="0" applyFont="1" applyFill="1" applyBorder="1" applyAlignment="1">
      <alignment horizontal="left"/>
    </xf>
    <xf numFmtId="0" fontId="7" fillId="3" borderId="9" xfId="0" applyFont="1" applyFill="1" applyBorder="1" applyAlignment="1">
      <alignment horizontal="left"/>
    </xf>
    <xf numFmtId="0" fontId="7" fillId="3" borderId="8" xfId="0" applyFont="1" applyFill="1" applyBorder="1" applyAlignment="1" applyProtection="1">
      <alignment horizontal="center"/>
      <protection locked="0"/>
    </xf>
    <xf numFmtId="0" fontId="7" fillId="3" borderId="9" xfId="0" applyFont="1" applyFill="1" applyBorder="1" applyAlignment="1" applyProtection="1">
      <alignment horizontal="center"/>
      <protection locked="0"/>
    </xf>
    <xf numFmtId="0" fontId="15" fillId="0" borderId="0" xfId="2" applyFont="1" applyAlignment="1">
      <alignment horizontal="center"/>
    </xf>
    <xf numFmtId="0" fontId="16" fillId="0" borderId="0" xfId="2" applyFont="1" applyAlignment="1">
      <alignment horizontal="center"/>
    </xf>
    <xf numFmtId="0" fontId="2" fillId="3" borderId="1" xfId="0" applyFont="1" applyFill="1" applyBorder="1" applyAlignment="1">
      <alignment horizontal="center" vertical="center"/>
    </xf>
    <xf numFmtId="0" fontId="2" fillId="3" borderId="2" xfId="0" applyFont="1" applyFill="1" applyBorder="1" applyAlignment="1">
      <alignment horizontal="center" vertical="center"/>
    </xf>
    <xf numFmtId="0" fontId="2" fillId="3" borderId="3" xfId="0" applyFont="1" applyFill="1" applyBorder="1" applyAlignment="1">
      <alignment horizontal="center" vertical="center"/>
    </xf>
    <xf numFmtId="0" fontId="2" fillId="3" borderId="4" xfId="0" applyFont="1" applyFill="1" applyBorder="1" applyAlignment="1">
      <alignment horizontal="center" vertical="center"/>
    </xf>
    <xf numFmtId="0" fontId="2" fillId="3" borderId="5" xfId="0" applyFont="1" applyFill="1" applyBorder="1" applyAlignment="1">
      <alignment horizontal="center" vertical="center"/>
    </xf>
    <xf numFmtId="0" fontId="2" fillId="3" borderId="6" xfId="0" applyFont="1" applyFill="1" applyBorder="1" applyAlignment="1">
      <alignment horizontal="center" vertical="center"/>
    </xf>
    <xf numFmtId="0" fontId="6" fillId="4" borderId="0" xfId="0" applyFont="1" applyFill="1" applyAlignment="1">
      <alignment horizontal="center" vertical="center"/>
    </xf>
    <xf numFmtId="0" fontId="5" fillId="5" borderId="0" xfId="0" applyFont="1" applyFill="1" applyAlignment="1">
      <alignment horizontal="center" vertical="center" wrapText="1"/>
    </xf>
    <xf numFmtId="0" fontId="7" fillId="3" borderId="8" xfId="0" applyFont="1" applyFill="1" applyBorder="1" applyAlignment="1">
      <alignment horizontal="left" vertical="center" wrapText="1"/>
    </xf>
    <xf numFmtId="0" fontId="7" fillId="3" borderId="9" xfId="0" applyFont="1" applyFill="1" applyBorder="1" applyAlignment="1">
      <alignment horizontal="left" vertical="center" wrapText="1"/>
    </xf>
    <xf numFmtId="0" fontId="8" fillId="4" borderId="19" xfId="0" applyFont="1" applyFill="1" applyBorder="1" applyAlignment="1">
      <alignment wrapText="1"/>
    </xf>
    <xf numFmtId="0" fontId="8" fillId="4" borderId="20" xfId="0" applyFont="1" applyFill="1" applyBorder="1" applyAlignment="1">
      <alignment wrapText="1"/>
    </xf>
    <xf numFmtId="0" fontId="8" fillId="4" borderId="21" xfId="0" applyFont="1" applyFill="1" applyBorder="1" applyAlignment="1">
      <alignment wrapText="1"/>
    </xf>
    <xf numFmtId="0" fontId="0" fillId="0" borderId="22" xfId="0" applyBorder="1" applyAlignment="1">
      <alignment vertical="center" wrapText="1"/>
    </xf>
    <xf numFmtId="0" fontId="0" fillId="0" borderId="23" xfId="0" applyBorder="1" applyAlignment="1">
      <alignment vertical="center" wrapText="1"/>
    </xf>
    <xf numFmtId="0" fontId="0" fillId="0" borderId="24" xfId="0" applyBorder="1" applyAlignment="1">
      <alignment vertical="center" wrapText="1"/>
    </xf>
    <xf numFmtId="0" fontId="0" fillId="0" borderId="25" xfId="0" applyBorder="1" applyAlignment="1">
      <alignment vertical="center" wrapText="1"/>
    </xf>
    <xf numFmtId="0" fontId="0" fillId="0" borderId="0" xfId="0" applyBorder="1" applyAlignment="1">
      <alignment vertical="center" wrapText="1"/>
    </xf>
    <xf numFmtId="0" fontId="0" fillId="0" borderId="26" xfId="0" applyBorder="1" applyAlignment="1">
      <alignment vertical="center" wrapText="1"/>
    </xf>
    <xf numFmtId="0" fontId="0" fillId="0" borderId="27" xfId="0" applyBorder="1" applyAlignment="1">
      <alignment vertical="center" wrapText="1"/>
    </xf>
    <xf numFmtId="0" fontId="0" fillId="0" borderId="28" xfId="0" applyBorder="1" applyAlignment="1">
      <alignment vertical="center" wrapText="1"/>
    </xf>
    <xf numFmtId="0" fontId="0" fillId="0" borderId="29" xfId="0" applyBorder="1" applyAlignment="1">
      <alignment vertical="center" wrapText="1"/>
    </xf>
    <xf numFmtId="0" fontId="14" fillId="6" borderId="0" xfId="2" applyFill="1" applyAlignment="1">
      <alignment horizontal="center" vertical="center"/>
    </xf>
    <xf numFmtId="0" fontId="8" fillId="4" borderId="0" xfId="0" applyFont="1" applyFill="1" applyAlignment="1">
      <alignment horizontal="left"/>
    </xf>
    <xf numFmtId="0" fontId="0" fillId="0" borderId="0" xfId="0" applyAlignment="1">
      <alignment horizontal="left" vertical="center" wrapText="1"/>
    </xf>
    <xf numFmtId="0" fontId="0" fillId="0" borderId="0" xfId="0" applyAlignment="1">
      <alignment horizontal="left" wrapText="1"/>
    </xf>
    <xf numFmtId="0" fontId="2" fillId="0" borderId="34" xfId="0" applyFont="1" applyBorder="1" applyAlignment="1">
      <alignment horizontal="center" vertical="center" wrapText="1"/>
    </xf>
    <xf numFmtId="0" fontId="2" fillId="0" borderId="35" xfId="0" applyFont="1" applyBorder="1" applyAlignment="1">
      <alignment horizontal="center" vertical="center" wrapText="1"/>
    </xf>
    <xf numFmtId="0" fontId="2" fillId="0" borderId="36" xfId="0" applyFont="1" applyBorder="1" applyAlignment="1">
      <alignment horizontal="center" vertical="center" wrapText="1"/>
    </xf>
    <xf numFmtId="0" fontId="2" fillId="0" borderId="34" xfId="0" applyFont="1" applyBorder="1" applyAlignment="1">
      <alignment horizontal="center" vertical="center"/>
    </xf>
    <xf numFmtId="0" fontId="2" fillId="0" borderId="35" xfId="0" applyFont="1" applyBorder="1" applyAlignment="1">
      <alignment horizontal="center" vertical="center"/>
    </xf>
    <xf numFmtId="0" fontId="7" fillId="3" borderId="7" xfId="0" applyFont="1" applyFill="1" applyBorder="1" applyAlignment="1" applyProtection="1">
      <alignment horizontal="center"/>
      <protection locked="0"/>
    </xf>
    <xf numFmtId="0" fontId="7" fillId="3" borderId="8" xfId="0" applyFont="1" applyFill="1" applyBorder="1" applyAlignment="1" applyProtection="1">
      <alignment horizontal="right"/>
      <protection locked="0"/>
    </xf>
    <xf numFmtId="0" fontId="7" fillId="3" borderId="9" xfId="0" applyFont="1" applyFill="1" applyBorder="1" applyAlignment="1" applyProtection="1">
      <alignment horizontal="right"/>
      <protection locked="0"/>
    </xf>
    <xf numFmtId="0" fontId="7" fillId="3" borderId="7" xfId="0" applyFont="1" applyFill="1" applyBorder="1" applyAlignment="1" applyProtection="1">
      <alignment horizontal="right"/>
      <protection locked="0"/>
    </xf>
    <xf numFmtId="0" fontId="0" fillId="0" borderId="0" xfId="0" applyFont="1"/>
    <xf numFmtId="3" fontId="0" fillId="0" borderId="0" xfId="0" applyNumberFormat="1" applyFont="1" applyAlignment="1">
      <alignment vertical="top"/>
    </xf>
    <xf numFmtId="0" fontId="20" fillId="0" borderId="31" xfId="0" applyFont="1" applyBorder="1" applyAlignment="1">
      <alignment horizontal="center" vertical="center"/>
    </xf>
    <xf numFmtId="178" fontId="20" fillId="0" borderId="31" xfId="0" applyNumberFormat="1" applyFont="1" applyBorder="1" applyAlignment="1">
      <alignment horizontal="center" vertical="center"/>
    </xf>
    <xf numFmtId="177" fontId="21" fillId="0" borderId="30" xfId="0" applyNumberFormat="1" applyFont="1" applyBorder="1" applyAlignment="1">
      <alignment horizontal="center" vertical="center"/>
    </xf>
    <xf numFmtId="14" fontId="21" fillId="0" borderId="33" xfId="0" applyNumberFormat="1" applyFont="1" applyBorder="1" applyAlignment="1">
      <alignment horizontal="center" vertical="center"/>
    </xf>
    <xf numFmtId="14" fontId="20" fillId="0" borderId="33" xfId="0" applyNumberFormat="1" applyFont="1" applyBorder="1" applyAlignment="1">
      <alignment horizontal="center" vertical="center"/>
    </xf>
    <xf numFmtId="1" fontId="20" fillId="0" borderId="30" xfId="0" applyNumberFormat="1" applyFont="1" applyBorder="1" applyAlignment="1">
      <alignment horizontal="center"/>
    </xf>
    <xf numFmtId="14" fontId="20" fillId="0" borderId="30" xfId="0" applyNumberFormat="1" applyFont="1" applyBorder="1" applyAlignment="1">
      <alignment horizontal="center" vertical="center"/>
    </xf>
    <xf numFmtId="176" fontId="20" fillId="0" borderId="30" xfId="0" applyNumberFormat="1" applyFont="1" applyBorder="1" applyAlignment="1">
      <alignment horizontal="center" vertical="center"/>
    </xf>
    <xf numFmtId="175" fontId="20" fillId="0" borderId="30" xfId="0" applyNumberFormat="1" applyFont="1" applyBorder="1" applyAlignment="1">
      <alignment horizontal="center" vertical="center"/>
    </xf>
    <xf numFmtId="3" fontId="0" fillId="0" borderId="0" xfId="0" applyNumberFormat="1" applyFont="1"/>
    <xf numFmtId="187" fontId="21" fillId="0" borderId="30" xfId="0" applyNumberFormat="1" applyFont="1" applyBorder="1" applyAlignment="1">
      <alignment horizontal="center" vertical="center"/>
    </xf>
    <xf numFmtId="187" fontId="22" fillId="0" borderId="37" xfId="0" applyNumberFormat="1" applyFont="1" applyBorder="1" applyAlignment="1">
      <alignment horizontal="center" vertical="center"/>
    </xf>
    <xf numFmtId="169" fontId="2" fillId="0" borderId="37" xfId="0" applyNumberFormat="1" applyFont="1" applyBorder="1" applyAlignment="1">
      <alignment horizontal="center"/>
    </xf>
    <xf numFmtId="187" fontId="21" fillId="0" borderId="32" xfId="0" applyNumberFormat="1" applyFont="1" applyBorder="1" applyAlignment="1">
      <alignment horizontal="center" vertical="center"/>
    </xf>
    <xf numFmtId="0" fontId="19" fillId="0" borderId="38" xfId="0" applyFont="1" applyBorder="1" applyAlignment="1">
      <alignment horizontal="center"/>
    </xf>
    <xf numFmtId="0" fontId="0" fillId="0" borderId="0" xfId="0" applyAlignment="1">
      <alignment horizontal="left" vertical="top" wrapText="1"/>
    </xf>
    <xf numFmtId="0" fontId="0" fillId="0" borderId="0" xfId="0" applyFont="1" applyAlignment="1">
      <alignment horizontal="left" vertical="top" wrapText="1"/>
    </xf>
  </cellXfs>
  <cellStyles count="3">
    <cellStyle name="Link" xfId="2" builtinId="8"/>
    <cellStyle name="Prozent" xfId="1" builtinId="5"/>
    <cellStyle name="Standard" xfId="0" builtinId="0"/>
  </cellStyles>
  <dxfs count="25">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68" formatCode=";;;"/>
      <alignment horizontal="center" vertical="center" textRotation="0" wrapText="0" indent="0" justifyLastLine="0" shrinkToFit="0" readingOrder="0"/>
    </dxf>
    <dxf>
      <numFmt numFmtId="168" formatCode=";;;"/>
      <alignment horizontal="center" vertical="center" textRotation="0" wrapText="0" indent="0" justifyLastLine="0" shrinkToFit="0" readingOrder="0"/>
    </dxf>
    <dxf>
      <font>
        <b/>
        <strike val="0"/>
        <outline val="0"/>
        <shadow val="0"/>
        <u val="none"/>
        <vertAlign val="baseline"/>
        <sz val="11"/>
        <color theme="0"/>
        <name val="Calibri"/>
        <scheme val="minor"/>
      </font>
      <numFmt numFmtId="165" formatCode="0.0%"/>
      <fill>
        <patternFill patternType="solid">
          <fgColor indexed="64"/>
          <bgColor rgb="FFA2A3A4"/>
        </patternFill>
      </fill>
      <alignment horizontal="center" vertical="center" textRotation="0" wrapText="0" indent="0" justifyLastLine="0" shrinkToFit="0" readingOrder="0"/>
      <border diagonalUp="0" diagonalDown="0">
        <left style="hair">
          <color indexed="64"/>
        </left>
        <right style="hair">
          <color indexed="64"/>
        </right>
        <top/>
        <bottom/>
        <vertical style="hair">
          <color indexed="64"/>
        </vertical>
        <horizontal/>
      </border>
      <protection locked="1" hidden="0"/>
    </dxf>
    <dxf>
      <font>
        <b/>
        <strike val="0"/>
        <outline val="0"/>
        <shadow val="0"/>
        <u val="none"/>
        <vertAlign val="baseline"/>
        <sz val="11"/>
        <color theme="0"/>
        <name val="Calibri"/>
        <scheme val="minor"/>
      </font>
      <numFmt numFmtId="0" formatCode="General"/>
      <fill>
        <patternFill patternType="solid">
          <fgColor indexed="64"/>
          <bgColor rgb="FFA2A3A4"/>
        </patternFill>
      </fill>
      <alignment horizontal="center" vertical="center" textRotation="0" wrapText="0" indent="0" justifyLastLine="0" shrinkToFit="0" readingOrder="0"/>
      <border diagonalUp="0" diagonalDown="0">
        <left style="hair">
          <color indexed="64"/>
        </left>
        <right style="hair">
          <color indexed="64"/>
        </right>
        <top/>
        <bottom/>
        <vertical style="hair">
          <color indexed="64"/>
        </vertical>
        <horizontal/>
      </border>
      <protection locked="1" hidden="0"/>
    </dxf>
    <dxf>
      <font>
        <b/>
        <strike val="0"/>
        <outline val="0"/>
        <shadow val="0"/>
        <u val="none"/>
        <vertAlign val="baseline"/>
        <sz val="11"/>
        <color theme="0"/>
        <name val="Calibri"/>
        <scheme val="minor"/>
      </font>
      <numFmt numFmtId="164" formatCode="#,##0\$"/>
      <fill>
        <patternFill patternType="solid">
          <fgColor indexed="64"/>
          <bgColor rgb="FFA2A3A4"/>
        </patternFill>
      </fill>
      <alignment horizontal="center" vertical="center" textRotation="0" wrapText="0" indent="0" justifyLastLine="0" shrinkToFit="0" readingOrder="0"/>
      <border diagonalUp="0" diagonalDown="0">
        <left style="hair">
          <color indexed="64"/>
        </left>
        <right style="hair">
          <color indexed="64"/>
        </right>
        <top/>
        <bottom/>
        <vertical style="hair">
          <color indexed="64"/>
        </vertical>
        <horizontal/>
      </border>
      <protection locked="1" hidden="0"/>
    </dxf>
    <dxf>
      <numFmt numFmtId="166" formatCode="#,###.00\$"/>
      <alignment horizontal="center" vertical="center" textRotation="0" wrapText="0" indent="0" justifyLastLine="0" shrinkToFit="0" readingOrder="0"/>
      <border diagonalUp="0" diagonalDown="0">
        <left/>
        <right style="hair">
          <color indexed="64"/>
        </right>
        <top/>
        <bottom/>
      </border>
      <protection locked="0" hidden="0"/>
    </dxf>
    <dxf>
      <font>
        <b/>
        <strike val="0"/>
        <outline val="0"/>
        <shadow val="0"/>
        <u val="none"/>
        <vertAlign val="baseline"/>
        <sz val="11"/>
        <color theme="0"/>
        <name val="Calibri"/>
        <scheme val="minor"/>
      </font>
      <numFmt numFmtId="174" formatCode="##,##0.0##\$"/>
      <fill>
        <patternFill patternType="solid">
          <fgColor indexed="64"/>
          <bgColor rgb="FFA2A3A4"/>
        </patternFill>
      </fill>
      <alignment horizontal="center" vertical="center" textRotation="0" wrapText="0" indent="0" justifyLastLine="0" shrinkToFit="0" readingOrder="0"/>
      <border diagonalUp="0" diagonalDown="0">
        <left style="hair">
          <color indexed="64"/>
        </left>
        <right style="hair">
          <color indexed="64"/>
        </right>
        <top/>
        <bottom/>
        <vertical/>
        <horizontal/>
      </border>
      <protection locked="0" hidden="0"/>
    </dxf>
    <dxf>
      <numFmt numFmtId="20" formatCode="dd/\ mmm\ yy"/>
      <alignment horizontal="center" vertical="center" textRotation="0" wrapText="0" indent="0" justifyLastLine="0" shrinkToFit="0" readingOrder="0"/>
      <border diagonalUp="0" diagonalDown="0">
        <left style="hair">
          <color indexed="64"/>
        </left>
        <right/>
        <top/>
        <bottom/>
      </border>
      <protection locked="0" hidden="0"/>
    </dxf>
    <dxf>
      <font>
        <b/>
        <strike val="0"/>
        <outline val="0"/>
        <shadow val="0"/>
        <u val="none"/>
        <vertAlign val="baseline"/>
        <sz val="11"/>
        <color theme="0"/>
        <name val="Calibri"/>
        <scheme val="minor"/>
      </font>
      <numFmt numFmtId="164" formatCode="#,##0\$"/>
      <fill>
        <patternFill patternType="solid">
          <fgColor indexed="64"/>
          <bgColor rgb="FFA2A3A4"/>
        </patternFill>
      </fill>
      <alignment horizontal="center" vertical="center" textRotation="0" wrapText="0" indent="0" justifyLastLine="0" shrinkToFit="0" readingOrder="0"/>
      <border diagonalUp="0" diagonalDown="0">
        <left/>
        <right style="hair">
          <color indexed="64"/>
        </right>
        <top/>
        <bottom/>
      </border>
      <protection locked="1" hidden="0"/>
    </dxf>
    <dxf>
      <font>
        <b/>
        <i val="0"/>
        <strike val="0"/>
        <condense val="0"/>
        <extend val="0"/>
        <outline val="0"/>
        <shadow val="0"/>
        <u val="none"/>
        <vertAlign val="baseline"/>
        <sz val="11"/>
        <color theme="0"/>
        <name val="Calibri"/>
        <scheme val="minor"/>
      </font>
      <numFmt numFmtId="174" formatCode="##,##0.0##\$"/>
      <fill>
        <patternFill patternType="solid">
          <fgColor indexed="64"/>
          <bgColor rgb="FFA2A3A4"/>
        </patternFill>
      </fill>
      <alignment horizontal="center" vertical="center" textRotation="0" wrapText="0" indent="0" justifyLastLine="0" shrinkToFit="0" readingOrder="0"/>
      <border diagonalUp="0" diagonalDown="0">
        <left style="hair">
          <color indexed="64"/>
        </left>
        <right style="hair">
          <color indexed="64"/>
        </right>
        <top/>
        <bottom/>
        <vertical/>
        <horizontal/>
      </border>
      <protection locked="0" hidden="0"/>
    </dxf>
    <dxf>
      <font>
        <b/>
        <strike val="0"/>
        <outline val="0"/>
        <shadow val="0"/>
        <u val="none"/>
        <vertAlign val="baseline"/>
        <sz val="11"/>
        <color theme="0"/>
        <name val="Calibri"/>
        <scheme val="minor"/>
      </font>
      <numFmt numFmtId="166" formatCode="#,###.00\$"/>
      <fill>
        <patternFill patternType="solid">
          <fgColor indexed="64"/>
          <bgColor rgb="FFA2A3A4"/>
        </patternFill>
      </fill>
      <alignment horizontal="center" vertical="center" textRotation="0" wrapText="0" indent="0" justifyLastLine="0" shrinkToFit="0" readingOrder="0"/>
      <border diagonalUp="0" diagonalDown="0">
        <left style="hair">
          <color indexed="64"/>
        </left>
        <right/>
        <top/>
        <bottom/>
      </border>
      <protection locked="1" hidden="0"/>
    </dxf>
    <dxf>
      <numFmt numFmtId="166" formatCode="#,###.00\$"/>
      <alignment horizontal="center" vertical="center" textRotation="0" wrapText="0" indent="0" justifyLastLine="0" shrinkToFit="0" readingOrder="0"/>
      <border diagonalUp="0" diagonalDown="0">
        <left style="hair">
          <color indexed="64"/>
        </left>
        <right style="hair">
          <color indexed="64"/>
        </right>
        <top/>
        <bottom/>
        <vertical style="hair">
          <color indexed="64"/>
        </vertical>
        <horizontal/>
      </border>
      <protection locked="0" hidden="0"/>
    </dxf>
    <dxf>
      <font>
        <b/>
        <strike val="0"/>
        <outline val="0"/>
        <shadow val="0"/>
        <u val="none"/>
        <vertAlign val="baseline"/>
        <sz val="11"/>
        <color theme="0"/>
        <name val="Calibri"/>
        <scheme val="minor"/>
      </font>
      <numFmt numFmtId="1" formatCode="0"/>
      <fill>
        <patternFill patternType="solid">
          <fgColor indexed="64"/>
          <bgColor rgb="FFA2A3A4"/>
        </patternFill>
      </fill>
      <alignment horizontal="center" vertical="center" textRotation="0" wrapText="0" indent="0" justifyLastLine="0" shrinkToFit="0" readingOrder="0"/>
      <border diagonalUp="0" diagonalDown="0">
        <left style="hair">
          <color indexed="64"/>
        </left>
        <right style="hair">
          <color indexed="64"/>
        </right>
        <top/>
        <bottom/>
        <vertical/>
        <horizontal/>
      </border>
      <protection locked="1" hidden="0"/>
    </dxf>
    <dxf>
      <numFmt numFmtId="20" formatCode="dd/\ mmm\ yy"/>
      <alignment horizontal="center" vertical="center" textRotation="0" wrapText="0" indent="0" justifyLastLine="0" shrinkToFit="0" readingOrder="0"/>
      <border diagonalUp="0" diagonalDown="0">
        <left style="hair">
          <color indexed="64"/>
        </left>
        <right style="hair">
          <color indexed="64"/>
        </right>
        <top/>
        <bottom/>
        <vertical style="hair">
          <color indexed="64"/>
        </vertical>
        <horizontal/>
      </border>
      <protection locked="0" hidden="0"/>
    </dxf>
    <dxf>
      <numFmt numFmtId="20" formatCode="dd/\ mmm\ yy"/>
      <alignment horizontal="center" vertical="center" textRotation="0" wrapText="0" indent="0" justifyLastLine="0" shrinkToFit="0" readingOrder="0"/>
      <border diagonalUp="0" diagonalDown="0">
        <left style="hair">
          <color indexed="64"/>
        </left>
        <right style="hair">
          <color indexed="64"/>
        </right>
        <top/>
        <bottom/>
        <vertical style="hair">
          <color indexed="64"/>
        </vertical>
        <horizontal/>
      </border>
      <protection locked="0" hidden="0"/>
    </dxf>
    <dxf>
      <alignment horizontal="center" vertical="center" textRotation="0" wrapText="0" indent="0" justifyLastLine="0" shrinkToFit="0" readingOrder="0"/>
      <border diagonalUp="0" diagonalDown="0">
        <left style="hair">
          <color indexed="64"/>
        </left>
        <right style="hair">
          <color indexed="64"/>
        </right>
        <top/>
        <bottom/>
        <vertical style="hair">
          <color indexed="64"/>
        </vertical>
        <horizontal/>
      </border>
      <protection locked="0" hidden="0"/>
    </dxf>
    <dxf>
      <numFmt numFmtId="166" formatCode="#,###.00\$"/>
      <alignment horizontal="center" vertical="center" textRotation="0" wrapText="0" indent="0" justifyLastLine="0" shrinkToFit="0" readingOrder="0"/>
      <border diagonalUp="0" diagonalDown="0">
        <left style="hair">
          <color indexed="64"/>
        </left>
        <right style="hair">
          <color indexed="64"/>
        </right>
        <top/>
        <bottom/>
        <vertical style="hair">
          <color indexed="64"/>
        </vertical>
        <horizontal/>
      </border>
      <protection locked="0" hidden="0"/>
    </dxf>
    <dxf>
      <alignment horizontal="center" vertical="center" textRotation="0" wrapText="0" indent="0" justifyLastLine="0" shrinkToFit="0" readingOrder="0"/>
      <border diagonalUp="0" diagonalDown="0">
        <left style="hair">
          <color indexed="64"/>
        </left>
        <right style="hair">
          <color indexed="64"/>
        </right>
        <top/>
        <bottom/>
        <vertical style="hair">
          <color indexed="64"/>
        </vertical>
        <horizontal/>
      </border>
      <protection locked="0" hidden="0"/>
    </dxf>
    <dxf>
      <font>
        <sz val="8"/>
      </font>
      <numFmt numFmtId="20" formatCode="dd/\ mmm\ yy"/>
      <alignment horizontal="center" vertical="center" textRotation="0" wrapText="1" indent="0" justifyLastLine="0" shrinkToFit="0" readingOrder="0"/>
      <border diagonalUp="0" diagonalDown="0">
        <left style="hair">
          <color indexed="64"/>
        </left>
        <right style="hair">
          <color indexed="64"/>
        </right>
        <top/>
        <bottom/>
        <vertical/>
        <horizontal/>
      </border>
      <protection locked="0" hidden="0"/>
    </dxf>
    <dxf>
      <font>
        <b/>
      </font>
      <numFmt numFmtId="20" formatCode="dd/\ mmm\ yy"/>
      <alignment horizontal="center" vertical="center" textRotation="0" wrapText="0" indent="0" justifyLastLine="0" shrinkToFit="0" readingOrder="0"/>
      <border diagonalUp="0" diagonalDown="0">
        <left style="medium">
          <color indexed="64"/>
        </left>
        <right style="hair">
          <color indexed="64"/>
        </right>
        <top/>
        <bottom/>
      </border>
      <protection locked="0" hidden="0"/>
    </dxf>
    <dxf>
      <alignment horizontal="center" vertical="center" textRotation="0" wrapText="0" indent="0" justifyLastLine="0" shrinkToFit="0" readingOrder="0"/>
    </dxf>
    <dxf>
      <alignment horizontal="center" vertical="center" textRotation="0" wrapText="0" indent="0" justifyLastLine="0" shrinkToFit="0" readingOrder="0"/>
    </dxf>
  </dxfs>
  <tableStyles count="0" defaultTableStyle="TableStyleMedium2" defaultPivotStyle="PivotStyleLight16"/>
  <colors>
    <mruColors>
      <color rgb="FFA2A3A4"/>
      <color rgb="FFF9B738"/>
      <color rgb="FF3E3E3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13</xdr:col>
      <xdr:colOff>5092</xdr:colOff>
      <xdr:row>25</xdr:row>
      <xdr:rowOff>7620</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2880" y="182880"/>
          <a:ext cx="9812032" cy="48920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685800</xdr:colOff>
      <xdr:row>2</xdr:row>
      <xdr:rowOff>47625</xdr:rowOff>
    </xdr:from>
    <xdr:to>
      <xdr:col>18</xdr:col>
      <xdr:colOff>28575</xdr:colOff>
      <xdr:row>9</xdr:row>
      <xdr:rowOff>28575</xdr:rowOff>
    </xdr:to>
    <xdr:cxnSp macro="">
      <xdr:nvCxnSpPr>
        <xdr:cNvPr id="3" name="Gerade Verbindung mit Pfeil 2">
          <a:extLst>
            <a:ext uri="{FF2B5EF4-FFF2-40B4-BE49-F238E27FC236}">
              <a16:creationId xmlns:a16="http://schemas.microsoft.com/office/drawing/2014/main" id="{36B8ED5C-1A82-C997-070D-A39C1E6AF3DA}"/>
            </a:ext>
          </a:extLst>
        </xdr:cNvPr>
        <xdr:cNvCxnSpPr/>
      </xdr:nvCxnSpPr>
      <xdr:spPr>
        <a:xfrm flipH="1">
          <a:off x="2590800" y="457200"/>
          <a:ext cx="9553575" cy="1466850"/>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247650</xdr:colOff>
      <xdr:row>7</xdr:row>
      <xdr:rowOff>133350</xdr:rowOff>
    </xdr:from>
    <xdr:to>
      <xdr:col>17</xdr:col>
      <xdr:colOff>657225</xdr:colOff>
      <xdr:row>7</xdr:row>
      <xdr:rowOff>161925</xdr:rowOff>
    </xdr:to>
    <xdr:cxnSp macro="">
      <xdr:nvCxnSpPr>
        <xdr:cNvPr id="4" name="Gerade Verbindung mit Pfeil 3">
          <a:extLst>
            <a:ext uri="{FF2B5EF4-FFF2-40B4-BE49-F238E27FC236}">
              <a16:creationId xmlns:a16="http://schemas.microsoft.com/office/drawing/2014/main" id="{CAB0DC5B-DFC4-461A-8387-C03D7051CE61}"/>
            </a:ext>
          </a:extLst>
        </xdr:cNvPr>
        <xdr:cNvCxnSpPr/>
      </xdr:nvCxnSpPr>
      <xdr:spPr>
        <a:xfrm flipH="1" flipV="1">
          <a:off x="10077450" y="1247775"/>
          <a:ext cx="1933575" cy="28575"/>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752475</xdr:colOff>
      <xdr:row>1</xdr:row>
      <xdr:rowOff>114300</xdr:rowOff>
    </xdr:from>
    <xdr:to>
      <xdr:col>17</xdr:col>
      <xdr:colOff>733425</xdr:colOff>
      <xdr:row>10</xdr:row>
      <xdr:rowOff>114300</xdr:rowOff>
    </xdr:to>
    <xdr:cxnSp macro="">
      <xdr:nvCxnSpPr>
        <xdr:cNvPr id="6" name="Gerade Verbindung mit Pfeil 5">
          <a:extLst>
            <a:ext uri="{FF2B5EF4-FFF2-40B4-BE49-F238E27FC236}">
              <a16:creationId xmlns:a16="http://schemas.microsoft.com/office/drawing/2014/main" id="{DB8BA970-44D9-42FB-8459-C2EBC4C14CA0}"/>
            </a:ext>
          </a:extLst>
        </xdr:cNvPr>
        <xdr:cNvCxnSpPr/>
      </xdr:nvCxnSpPr>
      <xdr:spPr>
        <a:xfrm flipH="1" flipV="1">
          <a:off x="6191250" y="314325"/>
          <a:ext cx="5895975" cy="1895475"/>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809625</xdr:colOff>
      <xdr:row>9</xdr:row>
      <xdr:rowOff>66675</xdr:rowOff>
    </xdr:from>
    <xdr:to>
      <xdr:col>17</xdr:col>
      <xdr:colOff>704850</xdr:colOff>
      <xdr:row>13</xdr:row>
      <xdr:rowOff>171450</xdr:rowOff>
    </xdr:to>
    <xdr:cxnSp macro="">
      <xdr:nvCxnSpPr>
        <xdr:cNvPr id="8" name="Gerade Verbindung mit Pfeil 7">
          <a:extLst>
            <a:ext uri="{FF2B5EF4-FFF2-40B4-BE49-F238E27FC236}">
              <a16:creationId xmlns:a16="http://schemas.microsoft.com/office/drawing/2014/main" id="{BC38830B-42F9-4BA5-B773-1F62194501ED}"/>
            </a:ext>
          </a:extLst>
        </xdr:cNvPr>
        <xdr:cNvCxnSpPr/>
      </xdr:nvCxnSpPr>
      <xdr:spPr>
        <a:xfrm flipH="1" flipV="1">
          <a:off x="5210175" y="1962150"/>
          <a:ext cx="6848475" cy="876300"/>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64</xdr:row>
      <xdr:rowOff>7620</xdr:rowOff>
    </xdr:from>
    <xdr:to>
      <xdr:col>4</xdr:col>
      <xdr:colOff>126043</xdr:colOff>
      <xdr:row>82</xdr:row>
      <xdr:rowOff>0</xdr:rowOff>
    </xdr:to>
    <xdr:pic>
      <xdr:nvPicPr>
        <xdr:cNvPr id="2" name="Grafik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92480" y="10988040"/>
          <a:ext cx="3707443" cy="3284220"/>
        </a:xfrm>
        <a:prstGeom prst="rect">
          <a:avLst/>
        </a:prstGeom>
      </xdr:spPr>
    </xdr:pic>
    <xdr:clientData/>
  </xdr:twoCellAnchor>
  <xdr:twoCellAnchor editAs="oneCell">
    <xdr:from>
      <xdr:col>1</xdr:col>
      <xdr:colOff>0</xdr:colOff>
      <xdr:row>7</xdr:row>
      <xdr:rowOff>133350</xdr:rowOff>
    </xdr:from>
    <xdr:to>
      <xdr:col>14</xdr:col>
      <xdr:colOff>274805</xdr:colOff>
      <xdr:row>12</xdr:row>
      <xdr:rowOff>66564</xdr:rowOff>
    </xdr:to>
    <xdr:pic>
      <xdr:nvPicPr>
        <xdr:cNvPr id="3" name="Grafik 2">
          <a:extLst>
            <a:ext uri="{FF2B5EF4-FFF2-40B4-BE49-F238E27FC236}">
              <a16:creationId xmlns:a16="http://schemas.microsoft.com/office/drawing/2014/main" id="{92DE34E1-712C-4A2E-AAA7-4C592DF4622A}"/>
            </a:ext>
          </a:extLst>
        </xdr:cNvPr>
        <xdr:cNvPicPr>
          <a:picLocks noChangeAspect="1"/>
        </xdr:cNvPicPr>
      </xdr:nvPicPr>
      <xdr:blipFill>
        <a:blip xmlns:r="http://schemas.openxmlformats.org/officeDocument/2006/relationships" r:embed="rId2"/>
        <a:stretch>
          <a:fillRect/>
        </a:stretch>
      </xdr:blipFill>
      <xdr:spPr>
        <a:xfrm>
          <a:off x="792480" y="864870"/>
          <a:ext cx="11781005" cy="847614"/>
        </a:xfrm>
        <a:prstGeom prst="rect">
          <a:avLst/>
        </a:prstGeom>
      </xdr:spPr>
    </xdr:pic>
    <xdr:clientData/>
  </xdr:twoCellAnchor>
  <xdr:twoCellAnchor editAs="oneCell">
    <xdr:from>
      <xdr:col>1</xdr:col>
      <xdr:colOff>9525</xdr:colOff>
      <xdr:row>15</xdr:row>
      <xdr:rowOff>95250</xdr:rowOff>
    </xdr:from>
    <xdr:to>
      <xdr:col>9</xdr:col>
      <xdr:colOff>294330</xdr:colOff>
      <xdr:row>24</xdr:row>
      <xdr:rowOff>133131</xdr:rowOff>
    </xdr:to>
    <xdr:pic>
      <xdr:nvPicPr>
        <xdr:cNvPr id="4" name="Grafik 3">
          <a:extLst>
            <a:ext uri="{FF2B5EF4-FFF2-40B4-BE49-F238E27FC236}">
              <a16:creationId xmlns:a16="http://schemas.microsoft.com/office/drawing/2014/main" id="{86A0D2DD-AE8C-41D2-A14B-CF3722D00D15}"/>
            </a:ext>
          </a:extLst>
        </xdr:cNvPr>
        <xdr:cNvPicPr>
          <a:picLocks noChangeAspect="1"/>
        </xdr:cNvPicPr>
      </xdr:nvPicPr>
      <xdr:blipFill>
        <a:blip xmlns:r="http://schemas.openxmlformats.org/officeDocument/2006/relationships" r:embed="rId3"/>
        <a:stretch>
          <a:fillRect/>
        </a:stretch>
      </xdr:blipFill>
      <xdr:spPr>
        <a:xfrm>
          <a:off x="802005" y="2289810"/>
          <a:ext cx="7828605" cy="1683801"/>
        </a:xfrm>
        <a:prstGeom prst="rect">
          <a:avLst/>
        </a:prstGeom>
      </xdr:spPr>
    </xdr:pic>
    <xdr:clientData/>
  </xdr:twoCellAnchor>
  <xdr:twoCellAnchor>
    <xdr:from>
      <xdr:col>12</xdr:col>
      <xdr:colOff>66675</xdr:colOff>
      <xdr:row>10</xdr:row>
      <xdr:rowOff>28575</xdr:rowOff>
    </xdr:from>
    <xdr:to>
      <xdr:col>14</xdr:col>
      <xdr:colOff>333375</xdr:colOff>
      <xdr:row>12</xdr:row>
      <xdr:rowOff>123825</xdr:rowOff>
    </xdr:to>
    <xdr:sp macro="" textlink="">
      <xdr:nvSpPr>
        <xdr:cNvPr id="5" name="Rechteck 4">
          <a:extLst>
            <a:ext uri="{FF2B5EF4-FFF2-40B4-BE49-F238E27FC236}">
              <a16:creationId xmlns:a16="http://schemas.microsoft.com/office/drawing/2014/main" id="{CFB5B969-C84B-44BA-8E85-A01780927D26}"/>
            </a:ext>
          </a:extLst>
        </xdr:cNvPr>
        <xdr:cNvSpPr/>
      </xdr:nvSpPr>
      <xdr:spPr>
        <a:xfrm>
          <a:off x="10780395" y="1308735"/>
          <a:ext cx="1851660" cy="461010"/>
        </a:xfrm>
        <a:prstGeom prst="rect">
          <a:avLst/>
        </a:prstGeom>
        <a:noFill/>
        <a:ln w="539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7</xdr:col>
      <xdr:colOff>209550</xdr:colOff>
      <xdr:row>22</xdr:row>
      <xdr:rowOff>142875</xdr:rowOff>
    </xdr:from>
    <xdr:to>
      <xdr:col>9</xdr:col>
      <xdr:colOff>476250</xdr:colOff>
      <xdr:row>25</xdr:row>
      <xdr:rowOff>47625</xdr:rowOff>
    </xdr:to>
    <xdr:sp macro="" textlink="">
      <xdr:nvSpPr>
        <xdr:cNvPr id="6" name="Rechteck 5">
          <a:extLst>
            <a:ext uri="{FF2B5EF4-FFF2-40B4-BE49-F238E27FC236}">
              <a16:creationId xmlns:a16="http://schemas.microsoft.com/office/drawing/2014/main" id="{6AF44F7A-A58C-4B5A-8758-D091E1678DEE}"/>
            </a:ext>
          </a:extLst>
        </xdr:cNvPr>
        <xdr:cNvSpPr/>
      </xdr:nvSpPr>
      <xdr:spPr>
        <a:xfrm>
          <a:off x="6960870" y="3617595"/>
          <a:ext cx="1851660" cy="453390"/>
        </a:xfrm>
        <a:prstGeom prst="rect">
          <a:avLst/>
        </a:prstGeom>
        <a:noFill/>
        <a:ln w="539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oneCell">
    <xdr:from>
      <xdr:col>1</xdr:col>
      <xdr:colOff>0</xdr:colOff>
      <xdr:row>29</xdr:row>
      <xdr:rowOff>9525</xdr:rowOff>
    </xdr:from>
    <xdr:to>
      <xdr:col>8</xdr:col>
      <xdr:colOff>132519</xdr:colOff>
      <xdr:row>35</xdr:row>
      <xdr:rowOff>66525</xdr:rowOff>
    </xdr:to>
    <xdr:pic>
      <xdr:nvPicPr>
        <xdr:cNvPr id="7" name="Grafik 6">
          <a:extLst>
            <a:ext uri="{FF2B5EF4-FFF2-40B4-BE49-F238E27FC236}">
              <a16:creationId xmlns:a16="http://schemas.microsoft.com/office/drawing/2014/main" id="{79F9DD14-C088-4033-8566-536633FBAD0D}"/>
            </a:ext>
          </a:extLst>
        </xdr:cNvPr>
        <xdr:cNvPicPr>
          <a:picLocks noChangeAspect="1"/>
        </xdr:cNvPicPr>
      </xdr:nvPicPr>
      <xdr:blipFill>
        <a:blip xmlns:r="http://schemas.openxmlformats.org/officeDocument/2006/relationships" r:embed="rId4"/>
        <a:stretch>
          <a:fillRect/>
        </a:stretch>
      </xdr:blipFill>
      <xdr:spPr>
        <a:xfrm>
          <a:off x="792480" y="4764405"/>
          <a:ext cx="6883839" cy="1154280"/>
        </a:xfrm>
        <a:prstGeom prst="rect">
          <a:avLst/>
        </a:prstGeom>
      </xdr:spPr>
    </xdr:pic>
    <xdr:clientData/>
  </xdr:twoCellAnchor>
  <xdr:twoCellAnchor>
    <xdr:from>
      <xdr:col>1</xdr:col>
      <xdr:colOff>1466850</xdr:colOff>
      <xdr:row>33</xdr:row>
      <xdr:rowOff>76200</xdr:rowOff>
    </xdr:from>
    <xdr:to>
      <xdr:col>3</xdr:col>
      <xdr:colOff>552450</xdr:colOff>
      <xdr:row>35</xdr:row>
      <xdr:rowOff>171450</xdr:rowOff>
    </xdr:to>
    <xdr:sp macro="" textlink="">
      <xdr:nvSpPr>
        <xdr:cNvPr id="8" name="Rechteck 7">
          <a:extLst>
            <a:ext uri="{FF2B5EF4-FFF2-40B4-BE49-F238E27FC236}">
              <a16:creationId xmlns:a16="http://schemas.microsoft.com/office/drawing/2014/main" id="{5530104A-606A-4305-99F5-032A604EA63E}"/>
            </a:ext>
          </a:extLst>
        </xdr:cNvPr>
        <xdr:cNvSpPr/>
      </xdr:nvSpPr>
      <xdr:spPr>
        <a:xfrm>
          <a:off x="2259330" y="5562600"/>
          <a:ext cx="1874520" cy="461010"/>
        </a:xfrm>
        <a:prstGeom prst="rect">
          <a:avLst/>
        </a:prstGeom>
        <a:noFill/>
        <a:ln w="539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pubhtml" connectionId="5" xr16:uid="{00000000-0016-0000-0200-000000000000}" autoFormatId="16" applyNumberFormats="0" applyBorderFormats="0" applyFontFormats="1" applyPatternFormats="1" applyAlignmentFormats="0" applyWidthHeightFormats="0"/>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elle14610" displayName="Tabelle14610" ref="B35:U56" totalsRowShown="0" headerRowDxfId="24" dataDxfId="23">
  <autoFilter ref="B35:U56" xr:uid="{00000000-0009-0000-0100-000001000000}"/>
  <sortState xmlns:xlrd2="http://schemas.microsoft.com/office/spreadsheetml/2017/richdata2" ref="B43:Q53">
    <sortCondition descending="1" ref="H42:H53"/>
  </sortState>
  <tableColumns count="20">
    <tableColumn id="1" xr3:uid="{00000000-0010-0000-0000-000001000000}" name="Ticker" dataDxfId="22"/>
    <tableColumn id="17" xr3:uid="{00000000-0010-0000-0000-000011000000}" name="Name" dataDxfId="21"/>
    <tableColumn id="4" xr3:uid="{00000000-0010-0000-0000-000004000000}" name="Stk." dataDxfId="20"/>
    <tableColumn id="9" xr3:uid="{00000000-0010-0000-0000-000009000000}" name="Strike" dataDxfId="19"/>
    <tableColumn id="10" xr3:uid="{00000000-0010-0000-0000-00000A000000}" name="Put o. Call" dataDxfId="18"/>
    <tableColumn id="5" xr3:uid="{00000000-0010-0000-0000-000005000000}" name="Verfallstag" dataDxfId="17"/>
    <tableColumn id="2" xr3:uid="{00000000-0010-0000-0000-000002000000}" name="Datum Eröffnung" dataDxfId="16"/>
    <tableColumn id="3" xr3:uid="{00000000-0010-0000-0000-000003000000}" name="Initiale Laufzeit" dataDxfId="15">
      <calculatedColumnFormula>Tabelle14610[[#This Row],[Verfallstag]]-H36</calculatedColumnFormula>
    </tableColumn>
    <tableColumn id="6" xr3:uid="{00000000-0010-0000-0000-000006000000}" name="Prämie je Kontrakt" dataDxfId="14"/>
    <tableColumn id="7" xr3:uid="{00000000-0010-0000-0000-000007000000}" name="Prämie gesamt" dataDxfId="13">
      <calculatedColumnFormula>Tabelle14610[[#This Row],[Prämie je Kontrakt]]*Tabelle14610[[#This Row],[Stk.]]-Tabelle14610[[#This Row],[Transaktionsgebühr]]</calculatedColumnFormula>
    </tableColumn>
    <tableColumn id="19" xr3:uid="{00000000-0010-0000-0000-000013000000}" name="Transaktionsgebühr" dataDxfId="12">
      <calculatedColumnFormula>$S$24*Tabelle14610[[#This Row],[Stk.]]</calculatedColumnFormula>
    </tableColumn>
    <tableColumn id="8" xr3:uid="{00000000-0010-0000-0000-000008000000}" name="Einsatz gesamt" dataDxfId="11">
      <calculatedColumnFormula>(Tabelle14610[[#This Row],[Strike]]*100*Tabelle14610[[#This Row],[Stk.]]-K36)</calculatedColumnFormula>
    </tableColumn>
    <tableColumn id="11" xr3:uid="{00000000-0010-0000-0000-00000B000000}" name="Geschlossen am" dataDxfId="10"/>
    <tableColumn id="20" xr3:uid="{00000000-0010-0000-0000-000014000000}" name="Transaktionsgebühr 2" dataDxfId="9">
      <calculatedColumnFormula>IF(Tabelle14610[[#This Row],[Geschlossen
 zu]]&gt;0,$S$24*Tabelle14610[[#This Row],[Stk.]],0)</calculatedColumnFormula>
    </tableColumn>
    <tableColumn id="12" xr3:uid="{00000000-0010-0000-0000-00000C000000}" name="Geschlossen_x000a_ zu" dataDxfId="8"/>
    <tableColumn id="13" xr3:uid="{00000000-0010-0000-0000-00000D000000}" name="Gewinn gesamt" dataDxfId="7">
      <calculatedColumnFormula>IF(Tabelle14610[[#This Row],[Geschlossen am]]&lt;&gt;"",Tabelle14610[[#This Row],[Prämie gesamt]]-P36*Tabelle14610[[#This Row],[Stk.]]-Tabelle14610[[#This Row],[Transaktionsgebühr 2]],"")</calculatedColumnFormula>
    </tableColumn>
    <tableColumn id="14" xr3:uid="{00000000-0010-0000-0000-00000E000000}" name="Finale Laufzeit" dataDxfId="6">
      <calculatedColumnFormula>IF(Tabelle14610[[#This Row],[Geschlossen am]]&lt;&gt;"",Tabelle14610[[#This Row],[Geschlossen am]]-Tabelle14610[[#This Row],[Datum Eröffnung]],"")</calculatedColumnFormula>
    </tableColumn>
    <tableColumn id="15" xr3:uid="{00000000-0010-0000-0000-00000F000000}" name="Jährliche Rendite" dataDxfId="5">
      <calculatedColumnFormula>IF(Tabelle14610[[#This Row],[Geschlossen am]]&lt;&gt;"",Q36/Tabelle14610[[#This Row],[Einsatz gesamt]]*365/R36,"")</calculatedColumnFormula>
    </tableColumn>
    <tableColumn id="16" xr3:uid="{00000000-0010-0000-0000-000010000000}" name="Spalte1" dataDxfId="4">
      <calculatedColumnFormula>IF(Tabelle14610[[#This Row],[Geschlossen am]]&lt;&gt;"",0,1)</calculatedColumnFormula>
    </tableColumn>
    <tableColumn id="18" xr3:uid="{00000000-0010-0000-0000-000012000000}" name="Spalte2" dataDxfId="3">
      <calculatedColumnFormula>IF(Tabelle14610[[#This Row],[Geschlossen
 zu]]&gt;0,1,0)</calculatedColumnFormula>
    </tableColumn>
  </tableColumns>
  <tableStyleInfo name="TableStyleLight1"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freakyfinance.net/der-stillhalter-brief/" TargetMode="External"/><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AE61"/>
  <sheetViews>
    <sheetView showGridLines="0" zoomScale="85" zoomScaleNormal="85" workbookViewId="0">
      <selection activeCell="A15" sqref="A15:XFD15"/>
    </sheetView>
  </sheetViews>
  <sheetFormatPr baseColWidth="10" defaultRowHeight="15" x14ac:dyDescent="0.25"/>
  <cols>
    <col min="1" max="1" width="2.7109375" customWidth="1"/>
    <col min="2" max="2" width="10.7109375" customWidth="1"/>
    <col min="3" max="3" width="14.85546875" customWidth="1"/>
    <col min="4" max="5" width="9.7109375" customWidth="1"/>
    <col min="6" max="6" width="8.7109375" customWidth="1"/>
    <col min="7" max="8" width="13.7109375" customWidth="1"/>
    <col min="9" max="9" width="11.7109375" customWidth="1"/>
    <col min="10" max="10" width="13.5703125" customWidth="1"/>
    <col min="11" max="11" width="12.28515625" customWidth="1"/>
    <col min="12" max="12" width="11.85546875" customWidth="1"/>
    <col min="13" max="13" width="12.7109375" customWidth="1"/>
    <col min="14" max="14" width="13.7109375" customWidth="1"/>
    <col min="15" max="15" width="11.85546875" customWidth="1"/>
    <col min="16" max="16" width="14.85546875" customWidth="1"/>
    <col min="17" max="17" width="12.7109375" customWidth="1"/>
    <col min="18" max="18" width="15" customWidth="1"/>
    <col min="19" max="19" width="13.28515625" customWidth="1"/>
    <col min="20" max="20" width="9.28515625" hidden="1" customWidth="1"/>
    <col min="21" max="21" width="0" hidden="1" customWidth="1"/>
  </cols>
  <sheetData>
    <row r="2" spans="16:31" ht="18.75" x14ac:dyDescent="0.25">
      <c r="P2" s="91" t="s">
        <v>47</v>
      </c>
      <c r="Q2" s="91"/>
      <c r="R2" s="91"/>
      <c r="S2" s="91"/>
    </row>
    <row r="3" spans="16:31" ht="15.75" thickBot="1" x14ac:dyDescent="0.3"/>
    <row r="4" spans="16:31" ht="16.5" thickBot="1" x14ac:dyDescent="0.3">
      <c r="P4" s="92" t="s">
        <v>89</v>
      </c>
      <c r="Q4" s="93"/>
      <c r="R4" s="93"/>
      <c r="S4" s="17">
        <f>SUM(Tabelle14610[Gewinn gesamt])</f>
        <v>2008</v>
      </c>
    </row>
    <row r="5" spans="16:31" ht="16.5" thickBot="1" x14ac:dyDescent="0.3">
      <c r="P5" s="92" t="s">
        <v>48</v>
      </c>
      <c r="Q5" s="93"/>
      <c r="R5" s="93"/>
      <c r="S5" s="73">
        <f>AVERAGE(Tabelle14610[Gewinn gesamt])</f>
        <v>100.4</v>
      </c>
    </row>
    <row r="6" spans="16:31" ht="16.5" thickBot="1" x14ac:dyDescent="0.3">
      <c r="P6" s="92" t="s">
        <v>53</v>
      </c>
      <c r="Q6" s="93"/>
      <c r="R6" s="93"/>
      <c r="S6" s="17">
        <f>MAX(Tabelle14610[Gewinn gesamt])</f>
        <v>198</v>
      </c>
    </row>
    <row r="7" spans="16:31" ht="16.5" thickBot="1" x14ac:dyDescent="0.3">
      <c r="P7" s="106" t="s">
        <v>54</v>
      </c>
      <c r="Q7" s="107"/>
      <c r="R7" s="107"/>
      <c r="S7" s="18">
        <f>MIN(Tabelle14610[Gewinn gesamt])</f>
        <v>45</v>
      </c>
    </row>
    <row r="8" spans="16:31" ht="15.75" thickBot="1" x14ac:dyDescent="0.3">
      <c r="P8" s="11"/>
      <c r="Q8" s="11"/>
      <c r="R8" s="11"/>
      <c r="S8" s="19"/>
    </row>
    <row r="9" spans="16:31" ht="16.5" thickBot="1" x14ac:dyDescent="0.3">
      <c r="P9" s="92" t="s">
        <v>49</v>
      </c>
      <c r="Q9" s="93"/>
      <c r="R9" s="93"/>
      <c r="S9" s="20">
        <f>AVERAGE(Tabelle14610[Finale Laufzeit])</f>
        <v>37.950000000000003</v>
      </c>
    </row>
    <row r="10" spans="16:31" ht="16.5" thickBot="1" x14ac:dyDescent="0.3">
      <c r="P10" s="92" t="s">
        <v>50</v>
      </c>
      <c r="Q10" s="93"/>
      <c r="R10" s="93"/>
      <c r="S10" s="74">
        <f>AVERAGE(Tabelle14610[Jährliche Rendite])</f>
        <v>0.25199530963676264</v>
      </c>
    </row>
    <row r="11" spans="16:31" ht="15.75" customHeight="1" thickBot="1" x14ac:dyDescent="0.3">
      <c r="P11" s="92" t="s">
        <v>60</v>
      </c>
      <c r="Q11" s="93"/>
      <c r="R11" s="93"/>
      <c r="S11" s="66">
        <v>1</v>
      </c>
    </row>
    <row r="12" spans="16:31" ht="15.75" customHeight="1" thickBot="1" x14ac:dyDescent="0.3">
      <c r="P12" s="11"/>
      <c r="Q12" s="11"/>
      <c r="R12" s="11"/>
      <c r="S12" s="12"/>
      <c r="U12" s="10"/>
      <c r="V12" s="10"/>
      <c r="W12" s="10"/>
      <c r="X12" s="10"/>
      <c r="Y12" s="10"/>
      <c r="Z12" s="10"/>
      <c r="AA12" s="10"/>
      <c r="AB12" s="10"/>
      <c r="AC12" s="10"/>
      <c r="AD12" s="10"/>
      <c r="AE12" s="10"/>
    </row>
    <row r="13" spans="16:31" ht="16.5" thickBot="1" x14ac:dyDescent="0.3">
      <c r="P13" s="92" t="s">
        <v>52</v>
      </c>
      <c r="Q13" s="93"/>
      <c r="R13" s="93"/>
      <c r="S13" s="31">
        <v>50000</v>
      </c>
      <c r="U13" s="10"/>
      <c r="V13" s="10"/>
      <c r="W13" s="10"/>
      <c r="X13" s="10"/>
      <c r="Y13" s="10"/>
      <c r="Z13" s="10"/>
      <c r="AA13" s="10"/>
      <c r="AB13" s="10"/>
      <c r="AC13" s="10"/>
      <c r="AD13" s="10"/>
      <c r="AE13" s="10"/>
    </row>
    <row r="14" spans="16:31" ht="16.5" thickBot="1" x14ac:dyDescent="0.3">
      <c r="P14" s="106" t="s">
        <v>78</v>
      </c>
      <c r="Q14" s="107"/>
      <c r="R14" s="107"/>
      <c r="S14" s="18">
        <f>K59+Q59</f>
        <v>2089</v>
      </c>
      <c r="U14" s="10"/>
      <c r="V14" s="10"/>
      <c r="W14" s="10"/>
      <c r="X14" s="10"/>
      <c r="Y14" s="10"/>
      <c r="Z14" s="10"/>
      <c r="AA14" s="10"/>
      <c r="AB14" s="10"/>
      <c r="AC14" s="10"/>
      <c r="AD14" s="10"/>
      <c r="AE14" s="10"/>
    </row>
    <row r="15" spans="16:31" ht="16.5" thickBot="1" x14ac:dyDescent="0.3">
      <c r="P15" s="106" t="s">
        <v>82</v>
      </c>
      <c r="Q15" s="107"/>
      <c r="R15" s="107"/>
      <c r="S15" s="28">
        <f>S13+(Q59+K59)/S28+Eingebucht!J2</f>
        <v>49362.517152004875</v>
      </c>
      <c r="U15" s="10"/>
      <c r="V15" s="10"/>
      <c r="W15" s="10"/>
      <c r="X15" s="10"/>
      <c r="Y15" s="10"/>
      <c r="Z15" s="10"/>
      <c r="AA15" s="10"/>
      <c r="AB15" s="10"/>
      <c r="AC15" s="10"/>
      <c r="AD15" s="10"/>
      <c r="AE15" s="10"/>
    </row>
    <row r="16" spans="16:31" ht="16.5" customHeight="1" thickBot="1" x14ac:dyDescent="0.3">
      <c r="P16" s="106" t="s">
        <v>51</v>
      </c>
      <c r="Q16" s="107"/>
      <c r="R16" s="107"/>
      <c r="S16" s="66">
        <f>(S15-S13)/S13</f>
        <v>-1.2749656959902496E-2</v>
      </c>
      <c r="U16" s="10"/>
      <c r="V16" s="10"/>
      <c r="W16" s="10"/>
      <c r="X16" s="10"/>
      <c r="Y16" s="10"/>
      <c r="Z16" s="10"/>
      <c r="AA16" s="10"/>
      <c r="AB16" s="10"/>
      <c r="AC16" s="10"/>
      <c r="AD16" s="10"/>
      <c r="AE16" s="10"/>
    </row>
    <row r="17" spans="2:31" ht="15.75" thickBot="1" x14ac:dyDescent="0.3">
      <c r="S17" s="19"/>
      <c r="U17" s="10"/>
      <c r="V17" s="10"/>
      <c r="W17" s="10"/>
      <c r="X17" s="10"/>
      <c r="Y17" s="10"/>
      <c r="Z17" s="10"/>
      <c r="AA17" s="10"/>
      <c r="AB17" s="10"/>
      <c r="AC17" s="10"/>
      <c r="AD17" s="10"/>
      <c r="AE17" s="10"/>
    </row>
    <row r="18" spans="2:31" ht="16.5" thickBot="1" x14ac:dyDescent="0.3">
      <c r="P18" s="92" t="s">
        <v>55</v>
      </c>
      <c r="Q18" s="93"/>
      <c r="R18" s="93"/>
      <c r="S18" s="21">
        <f>MIN(Tabelle14610[Datum Eröffnung])</f>
        <v>44144</v>
      </c>
      <c r="U18" s="10"/>
      <c r="V18" s="10"/>
      <c r="W18" s="10"/>
      <c r="X18" s="10"/>
      <c r="Y18" s="10"/>
      <c r="Z18" s="10"/>
      <c r="AA18" s="10"/>
      <c r="AB18" s="10"/>
      <c r="AC18" s="10"/>
      <c r="AD18" s="10"/>
      <c r="AE18" s="10"/>
    </row>
    <row r="19" spans="2:31" ht="16.5" thickBot="1" x14ac:dyDescent="0.3">
      <c r="P19" s="92" t="s">
        <v>56</v>
      </c>
      <c r="Q19" s="93"/>
      <c r="R19" s="93"/>
      <c r="S19" s="21">
        <f ca="1">TODAY()</f>
        <v>44901</v>
      </c>
      <c r="U19" s="10"/>
      <c r="V19" s="10"/>
      <c r="W19" s="10"/>
      <c r="X19" s="10"/>
      <c r="Y19" s="10"/>
      <c r="Z19" s="10"/>
      <c r="AA19" s="10"/>
      <c r="AB19" s="10"/>
      <c r="AC19" s="10"/>
      <c r="AD19" s="10"/>
      <c r="AE19" s="10"/>
    </row>
    <row r="20" spans="2:31" ht="16.5" thickBot="1" x14ac:dyDescent="0.3">
      <c r="P20" s="92" t="s">
        <v>10</v>
      </c>
      <c r="Q20" s="93"/>
      <c r="R20" s="93"/>
      <c r="S20" s="66">
        <f ca="1">S16*365/(S19-S18)</f>
        <v>-6.147456790441758E-3</v>
      </c>
      <c r="U20" s="10"/>
      <c r="V20" s="10"/>
      <c r="W20" s="10"/>
      <c r="X20" s="10"/>
      <c r="Y20" s="10"/>
      <c r="Z20" s="10"/>
      <c r="AA20" s="10"/>
      <c r="AB20" s="10"/>
      <c r="AC20" s="10"/>
      <c r="AD20" s="10"/>
      <c r="AE20" s="10"/>
    </row>
    <row r="21" spans="2:31" x14ac:dyDescent="0.25">
      <c r="U21" s="10"/>
      <c r="V21" s="10"/>
      <c r="W21" s="10"/>
      <c r="X21" s="10"/>
      <c r="Y21" s="10"/>
      <c r="Z21" s="10"/>
      <c r="AA21" s="10"/>
      <c r="AB21" s="10"/>
      <c r="AC21" s="10"/>
      <c r="AD21" s="10"/>
      <c r="AE21" s="10"/>
    </row>
    <row r="22" spans="2:31" ht="18.75" x14ac:dyDescent="0.25">
      <c r="P22" s="91" t="s">
        <v>76</v>
      </c>
      <c r="Q22" s="91"/>
      <c r="R22" s="91"/>
      <c r="S22" s="91"/>
      <c r="U22" s="10"/>
      <c r="V22" s="10"/>
      <c r="W22" s="10"/>
      <c r="X22" s="10"/>
      <c r="Y22" s="10"/>
      <c r="Z22" s="10"/>
      <c r="AA22" s="10"/>
      <c r="AB22" s="10"/>
      <c r="AC22" s="10"/>
      <c r="AD22" s="10"/>
      <c r="AE22" s="10"/>
    </row>
    <row r="23" spans="2:31" ht="15.75" thickBot="1" x14ac:dyDescent="0.3">
      <c r="U23" s="10"/>
      <c r="V23" s="10"/>
      <c r="W23" s="10"/>
      <c r="X23" s="10"/>
      <c r="Y23" s="10"/>
      <c r="Z23" s="10"/>
      <c r="AA23" s="10"/>
      <c r="AB23" s="10"/>
      <c r="AC23" s="10"/>
      <c r="AD23" s="10"/>
      <c r="AE23" s="10"/>
    </row>
    <row r="24" spans="2:31" ht="16.5" thickBot="1" x14ac:dyDescent="0.3">
      <c r="P24" s="92" t="s">
        <v>96</v>
      </c>
      <c r="Q24" s="93"/>
      <c r="R24" s="93"/>
      <c r="S24" s="54">
        <v>2</v>
      </c>
      <c r="U24" s="10"/>
      <c r="V24" s="10"/>
      <c r="W24" s="10"/>
      <c r="X24" s="10"/>
      <c r="Y24" s="10"/>
      <c r="Z24" s="10"/>
      <c r="AA24" s="10"/>
      <c r="AB24" s="10"/>
      <c r="AC24" s="10"/>
      <c r="AD24" s="10"/>
      <c r="AE24" s="10"/>
    </row>
    <row r="25" spans="2:31" ht="16.5" thickBot="1" x14ac:dyDescent="0.3">
      <c r="P25" s="92" t="s">
        <v>77</v>
      </c>
      <c r="Q25" s="93"/>
      <c r="R25" s="93"/>
      <c r="S25" s="65">
        <f>SUM(Tabelle14610[Transaktionsgebühr])+SUM(Tabelle14610[Transaktionsgebühr 2])</f>
        <v>78</v>
      </c>
      <c r="U25" s="10"/>
      <c r="V25" s="10"/>
      <c r="W25" s="10"/>
      <c r="X25" s="10"/>
      <c r="Y25" s="10"/>
      <c r="Z25" s="10"/>
      <c r="AA25" s="10"/>
      <c r="AB25" s="10"/>
      <c r="AC25" s="10"/>
      <c r="AD25" s="10"/>
      <c r="AE25" s="10"/>
    </row>
    <row r="26" spans="2:31" ht="15.75" x14ac:dyDescent="0.25">
      <c r="B26" s="96" t="s">
        <v>132</v>
      </c>
      <c r="C26" s="97"/>
      <c r="D26" s="97"/>
      <c r="E26" s="97"/>
      <c r="F26" s="97"/>
      <c r="G26" s="97"/>
      <c r="H26" s="97"/>
      <c r="I26" s="97"/>
      <c r="J26" s="97"/>
      <c r="K26" s="97"/>
      <c r="L26" s="97"/>
      <c r="M26" s="97"/>
      <c r="P26" s="90"/>
      <c r="Q26" s="90"/>
      <c r="R26" s="90"/>
      <c r="S26" s="72"/>
      <c r="U26" s="10"/>
      <c r="V26" s="10"/>
      <c r="W26" s="10"/>
      <c r="X26" s="10"/>
      <c r="Y26" s="10"/>
      <c r="Z26" s="10"/>
      <c r="AA26" s="10"/>
      <c r="AB26" s="10"/>
      <c r="AC26" s="10"/>
      <c r="AD26" s="10"/>
      <c r="AE26" s="10"/>
    </row>
    <row r="27" spans="2:31" ht="15.75" thickBot="1" x14ac:dyDescent="0.3">
      <c r="B27" s="105">
        <f>IF((M59/S28)&gt;S15,"ACHTUNG! MIT DIESEM TRADE ÜBERSCHREITET DEIN GESAMTER KAPITALEINSATZ DEINEN HEUTIGEN DEPOT-WERT. BITTE PRÜFEN! GEGEBENENFALLS MUSST DU ZUSÄTZLICHES BAR-KAPITAL AUF DEIN KONTO ÜBERWEISEN, UM DIESEN TRADE EINZUGEHEN!",0)</f>
        <v>0</v>
      </c>
      <c r="C27" s="105"/>
      <c r="D27" s="105"/>
      <c r="E27" s="105"/>
      <c r="F27" s="105"/>
      <c r="G27" s="105"/>
      <c r="H27" s="105"/>
      <c r="I27" s="105"/>
      <c r="J27" s="105"/>
      <c r="K27" s="105"/>
      <c r="L27" s="105"/>
      <c r="M27" s="105"/>
      <c r="U27" s="10"/>
      <c r="V27" s="10"/>
      <c r="W27" s="10"/>
      <c r="X27" s="10"/>
      <c r="Y27" s="10"/>
      <c r="Z27" s="10"/>
      <c r="AA27" s="10"/>
      <c r="AB27" s="10"/>
      <c r="AC27" s="10"/>
      <c r="AD27" s="10"/>
      <c r="AE27" s="10"/>
    </row>
    <row r="28" spans="2:31" ht="16.5" thickBot="1" x14ac:dyDescent="0.3">
      <c r="B28" s="105"/>
      <c r="C28" s="105"/>
      <c r="D28" s="105"/>
      <c r="E28" s="105"/>
      <c r="F28" s="105"/>
      <c r="G28" s="105"/>
      <c r="H28" s="105"/>
      <c r="I28" s="105"/>
      <c r="J28" s="105"/>
      <c r="K28" s="105"/>
      <c r="L28" s="105"/>
      <c r="M28" s="105"/>
      <c r="R28" s="60" t="s">
        <v>38</v>
      </c>
      <c r="S28" s="61">
        <f>Währungsumrechnungen!C6</f>
        <v>1.0494399999999999</v>
      </c>
      <c r="U28" s="10"/>
      <c r="V28" s="10"/>
      <c r="W28" s="10"/>
      <c r="X28" s="10"/>
      <c r="Y28" s="10"/>
      <c r="Z28" s="10"/>
      <c r="AA28" s="10"/>
      <c r="AB28" s="10"/>
      <c r="AC28" s="10"/>
      <c r="AD28" s="10"/>
      <c r="AE28" s="10"/>
    </row>
    <row r="29" spans="2:31" x14ac:dyDescent="0.25">
      <c r="U29" s="10"/>
      <c r="V29" s="10"/>
      <c r="W29" s="10"/>
      <c r="X29" s="10"/>
      <c r="Y29" s="10"/>
      <c r="Z29" s="10"/>
      <c r="AA29" s="10"/>
      <c r="AB29" s="10"/>
      <c r="AC29" s="10"/>
      <c r="AD29" s="10"/>
      <c r="AE29" s="10"/>
    </row>
    <row r="30" spans="2:31" ht="15" customHeight="1" x14ac:dyDescent="0.25">
      <c r="B30" s="104" t="s">
        <v>39</v>
      </c>
      <c r="C30" s="104"/>
      <c r="D30" s="104"/>
      <c r="E30" s="104"/>
      <c r="F30" s="104"/>
      <c r="G30" s="104"/>
      <c r="H30" s="104"/>
      <c r="I30" s="104"/>
      <c r="J30" s="104"/>
      <c r="K30" s="104"/>
      <c r="L30" s="104"/>
      <c r="M30" s="104"/>
      <c r="N30" s="63"/>
      <c r="O30" s="63"/>
      <c r="P30" s="63"/>
      <c r="Q30" s="63"/>
      <c r="R30" s="63"/>
      <c r="S30" s="63"/>
      <c r="U30" s="10"/>
      <c r="V30" s="10"/>
      <c r="W30" s="10"/>
      <c r="X30" s="10"/>
      <c r="Y30" s="10"/>
      <c r="Z30" s="10"/>
      <c r="AA30" s="10"/>
      <c r="AB30" s="10"/>
      <c r="AC30" s="10"/>
      <c r="AD30" s="10"/>
      <c r="AE30" s="10"/>
    </row>
    <row r="31" spans="2:31" ht="15" customHeight="1" x14ac:dyDescent="0.25">
      <c r="B31" s="104"/>
      <c r="C31" s="104"/>
      <c r="D31" s="104"/>
      <c r="E31" s="104"/>
      <c r="F31" s="104"/>
      <c r="G31" s="104"/>
      <c r="H31" s="104"/>
      <c r="I31" s="104"/>
      <c r="J31" s="104"/>
      <c r="K31" s="104"/>
      <c r="L31" s="104"/>
      <c r="M31" s="104"/>
      <c r="N31" s="63"/>
      <c r="O31" s="63"/>
      <c r="P31" s="63"/>
      <c r="Q31" s="63"/>
      <c r="R31" s="63"/>
      <c r="S31" s="63"/>
      <c r="U31" s="10"/>
      <c r="V31" s="10"/>
      <c r="W31" s="10"/>
      <c r="X31" s="10"/>
      <c r="Y31" s="10"/>
      <c r="Z31" s="10"/>
      <c r="AA31" s="10"/>
      <c r="AB31" s="10"/>
      <c r="AC31" s="10"/>
      <c r="AD31" s="10"/>
      <c r="AE31" s="10"/>
    </row>
    <row r="32" spans="2:31" ht="15.75" thickBot="1" x14ac:dyDescent="0.3">
      <c r="U32" s="10"/>
      <c r="V32" s="10"/>
      <c r="W32" s="10"/>
      <c r="X32" s="10"/>
      <c r="Y32" s="10"/>
      <c r="Z32" s="10"/>
      <c r="AA32" s="10"/>
      <c r="AB32" s="10"/>
      <c r="AC32" s="10"/>
      <c r="AD32" s="10"/>
      <c r="AE32" s="10"/>
    </row>
    <row r="33" spans="2:31" x14ac:dyDescent="0.25">
      <c r="B33" s="98" t="s">
        <v>17</v>
      </c>
      <c r="C33" s="99"/>
      <c r="D33" s="99"/>
      <c r="E33" s="99"/>
      <c r="F33" s="99"/>
      <c r="G33" s="100"/>
      <c r="H33" s="98" t="s">
        <v>41</v>
      </c>
      <c r="I33" s="99"/>
      <c r="J33" s="99"/>
      <c r="K33" s="99"/>
      <c r="L33" s="99"/>
      <c r="M33" s="100"/>
      <c r="N33" s="98" t="s">
        <v>42</v>
      </c>
      <c r="O33" s="99"/>
      <c r="P33" s="99"/>
      <c r="Q33" s="99"/>
      <c r="R33" s="99"/>
      <c r="S33" s="100"/>
      <c r="U33" s="10"/>
      <c r="V33" s="10"/>
      <c r="W33" s="10"/>
      <c r="X33" s="10"/>
      <c r="Y33" s="10"/>
      <c r="Z33" s="10"/>
      <c r="AA33" s="10"/>
      <c r="AB33" s="10"/>
      <c r="AC33" s="10"/>
      <c r="AD33" s="10"/>
      <c r="AE33" s="10"/>
    </row>
    <row r="34" spans="2:31" ht="15.75" thickBot="1" x14ac:dyDescent="0.3">
      <c r="B34" s="101"/>
      <c r="C34" s="102"/>
      <c r="D34" s="102"/>
      <c r="E34" s="102"/>
      <c r="F34" s="102"/>
      <c r="G34" s="103"/>
      <c r="H34" s="101"/>
      <c r="I34" s="102"/>
      <c r="J34" s="102"/>
      <c r="K34" s="102"/>
      <c r="L34" s="102"/>
      <c r="M34" s="103"/>
      <c r="N34" s="101"/>
      <c r="O34" s="102"/>
      <c r="P34" s="102"/>
      <c r="Q34" s="102"/>
      <c r="R34" s="102"/>
      <c r="S34" s="103"/>
      <c r="U34" s="10"/>
      <c r="V34" s="10"/>
      <c r="W34" s="10"/>
      <c r="X34" s="10"/>
      <c r="Y34" s="10"/>
      <c r="Z34" s="10"/>
      <c r="AA34" s="10"/>
      <c r="AB34" s="10"/>
      <c r="AC34" s="10"/>
      <c r="AD34" s="10"/>
      <c r="AE34" s="10"/>
    </row>
    <row r="35" spans="2:31" ht="30" x14ac:dyDescent="0.25">
      <c r="B35" s="1" t="s">
        <v>3</v>
      </c>
      <c r="C35" s="2" t="s">
        <v>64</v>
      </c>
      <c r="D35" s="2" t="s">
        <v>93</v>
      </c>
      <c r="E35" s="2" t="s">
        <v>0</v>
      </c>
      <c r="F35" s="3" t="s">
        <v>92</v>
      </c>
      <c r="G35" s="4" t="s">
        <v>94</v>
      </c>
      <c r="H35" s="5" t="s">
        <v>40</v>
      </c>
      <c r="I35" s="3" t="s">
        <v>61</v>
      </c>
      <c r="J35" s="3" t="s">
        <v>15</v>
      </c>
      <c r="K35" s="3" t="s">
        <v>16</v>
      </c>
      <c r="L35" s="3" t="s">
        <v>90</v>
      </c>
      <c r="M35" s="3" t="s">
        <v>21</v>
      </c>
      <c r="N35" s="5" t="s">
        <v>62</v>
      </c>
      <c r="O35" s="3" t="s">
        <v>91</v>
      </c>
      <c r="P35" s="3" t="s">
        <v>75</v>
      </c>
      <c r="Q35" s="3" t="s">
        <v>29</v>
      </c>
      <c r="R35" s="3" t="s">
        <v>18</v>
      </c>
      <c r="S35" s="6" t="s">
        <v>10</v>
      </c>
      <c r="T35" s="64" t="s">
        <v>97</v>
      </c>
      <c r="U35" s="64" t="s">
        <v>98</v>
      </c>
      <c r="V35" s="10"/>
      <c r="W35" s="10"/>
      <c r="X35" s="10"/>
      <c r="Y35" s="10"/>
      <c r="Z35" s="10"/>
      <c r="AA35" s="10"/>
      <c r="AB35" s="10"/>
      <c r="AC35" s="10"/>
      <c r="AD35" s="10"/>
      <c r="AE35" s="10"/>
    </row>
    <row r="36" spans="2:31" ht="22.5" x14ac:dyDescent="0.25">
      <c r="B36" s="55" t="s">
        <v>128</v>
      </c>
      <c r="C36" s="33" t="s">
        <v>129</v>
      </c>
      <c r="D36" s="34">
        <v>2</v>
      </c>
      <c r="E36" s="35">
        <v>29</v>
      </c>
      <c r="F36" s="34" t="s">
        <v>12</v>
      </c>
      <c r="G36" s="32">
        <v>44274</v>
      </c>
      <c r="H36" s="32">
        <v>44224</v>
      </c>
      <c r="I36" s="39">
        <f>Tabelle14610[[#This Row],[Verfallstag]]-H36</f>
        <v>50</v>
      </c>
      <c r="J36" s="35">
        <v>48</v>
      </c>
      <c r="K36" s="67">
        <f>Tabelle14610[[#This Row],[Prämie je Kontrakt]]*Tabelle14610[[#This Row],[Stk.]]-Tabelle14610[[#This Row],[Transaktionsgebühr]]</f>
        <v>92</v>
      </c>
      <c r="L36" s="75">
        <f>$S$24*Tabelle14610[[#This Row],[Stk.]]</f>
        <v>4</v>
      </c>
      <c r="M36" s="68">
        <f>(Tabelle14610[[#This Row],[Strike]]*100*Tabelle14610[[#This Row],[Stk.]]-K36)</f>
        <v>5708</v>
      </c>
      <c r="N36" s="69">
        <v>44274</v>
      </c>
      <c r="O36" s="75">
        <f>IF(Tabelle14610[[#This Row],[Geschlossen
 zu]]&gt;0,$S$24*Tabelle14610[[#This Row],[Stk.]],0)</f>
        <v>0</v>
      </c>
      <c r="P36" s="70"/>
      <c r="Q36" s="41">
        <f>IF(Tabelle14610[[#This Row],[Geschlossen am]]&lt;&gt;"",Tabelle14610[[#This Row],[Prämie gesamt]]-P36*Tabelle14610[[#This Row],[Stk.]]-Tabelle14610[[#This Row],[Transaktionsgebühr 2]],"")</f>
        <v>92</v>
      </c>
      <c r="R36" s="42">
        <f>IF(Tabelle14610[[#This Row],[Geschlossen am]]&lt;&gt;"",Tabelle14610[[#This Row],[Geschlossen am]]-Tabelle14610[[#This Row],[Datum Eröffnung]],"")</f>
        <v>50</v>
      </c>
      <c r="S36" s="51">
        <f>IF(Tabelle14610[[#This Row],[Geschlossen am]]&lt;&gt;"",Q36/Tabelle14610[[#This Row],[Einsatz gesamt]]*365/R36,"")</f>
        <v>0.11765942536790469</v>
      </c>
      <c r="T36" s="64">
        <f>IF(Tabelle14610[[#This Row],[Geschlossen am]]&lt;&gt;"",0,1)</f>
        <v>0</v>
      </c>
      <c r="U36" s="64">
        <f>IF(Tabelle14610[[#This Row],[Geschlossen
 zu]]&gt;0,1,0)</f>
        <v>0</v>
      </c>
      <c r="V36" s="10"/>
      <c r="W36" s="10"/>
      <c r="X36" s="10"/>
      <c r="Y36" s="10"/>
      <c r="Z36" s="10"/>
      <c r="AA36" s="10"/>
      <c r="AB36" s="10"/>
      <c r="AC36" s="10"/>
      <c r="AD36" s="10"/>
      <c r="AE36" s="10"/>
    </row>
    <row r="37" spans="2:31" ht="22.5" x14ac:dyDescent="0.25">
      <c r="B37" s="55" t="s">
        <v>126</v>
      </c>
      <c r="C37" s="33" t="s">
        <v>127</v>
      </c>
      <c r="D37" s="85">
        <v>2</v>
      </c>
      <c r="E37" s="35">
        <v>20</v>
      </c>
      <c r="F37" s="86" t="s">
        <v>12</v>
      </c>
      <c r="G37" s="32">
        <v>44274</v>
      </c>
      <c r="H37" s="32">
        <v>44222</v>
      </c>
      <c r="I37" s="39">
        <f>Tabelle14610[[#This Row],[Verfallstag]]-H37</f>
        <v>52</v>
      </c>
      <c r="J37" s="35">
        <v>70</v>
      </c>
      <c r="K37" s="67">
        <f>Tabelle14610[[#This Row],[Prämie je Kontrakt]]*Tabelle14610[[#This Row],[Stk.]]-Tabelle14610[[#This Row],[Transaktionsgebühr]]</f>
        <v>136</v>
      </c>
      <c r="L37" s="75">
        <f>$S$24*Tabelle14610[[#This Row],[Stk.]]</f>
        <v>4</v>
      </c>
      <c r="M37" s="68">
        <f>(Tabelle14610[[#This Row],[Strike]]*100*Tabelle14610[[#This Row],[Stk.]]-K37)</f>
        <v>3864</v>
      </c>
      <c r="N37" s="69">
        <v>44274</v>
      </c>
      <c r="O37" s="75">
        <f>IF(Tabelle14610[[#This Row],[Geschlossen
 zu]]&gt;0,$S$24*Tabelle14610[[#This Row],[Stk.]],0)</f>
        <v>0</v>
      </c>
      <c r="P37" s="70"/>
      <c r="Q37" s="41">
        <f>IF(Tabelle14610[[#This Row],[Geschlossen am]]&lt;&gt;"",Tabelle14610[[#This Row],[Prämie gesamt]]-P37*Tabelle14610[[#This Row],[Stk.]]-Tabelle14610[[#This Row],[Transaktionsgebühr 2]],"")</f>
        <v>136</v>
      </c>
      <c r="R37" s="42">
        <f>IF(Tabelle14610[[#This Row],[Geschlossen am]]&lt;&gt;"",Tabelle14610[[#This Row],[Geschlossen am]]-Tabelle14610[[#This Row],[Datum Eröffnung]],"")</f>
        <v>52</v>
      </c>
      <c r="S37" s="51">
        <f>IF(Tabelle14610[[#This Row],[Geschlossen am]]&lt;&gt;"",Q37/Tabelle14610[[#This Row],[Einsatz gesamt]]*365/R37,"")</f>
        <v>0.24705367096671443</v>
      </c>
      <c r="T37" s="64">
        <f>IF(Tabelle14610[[#This Row],[Geschlossen am]]&lt;&gt;"",0,1)</f>
        <v>0</v>
      </c>
      <c r="U37" s="64">
        <f>IF(Tabelle14610[[#This Row],[Geschlossen
 zu]]&gt;0,1,0)</f>
        <v>0</v>
      </c>
      <c r="V37" s="10"/>
      <c r="W37" s="10"/>
      <c r="X37" s="10"/>
      <c r="Y37" s="10"/>
      <c r="Z37" s="10"/>
      <c r="AA37" s="10"/>
      <c r="AB37" s="10"/>
      <c r="AC37" s="10"/>
      <c r="AD37" s="10"/>
      <c r="AE37" s="10"/>
    </row>
    <row r="38" spans="2:31" ht="22.5" x14ac:dyDescent="0.25">
      <c r="B38" s="55" t="s">
        <v>125</v>
      </c>
      <c r="C38" s="33" t="s">
        <v>131</v>
      </c>
      <c r="D38" s="34">
        <v>1</v>
      </c>
      <c r="E38" s="35">
        <v>50</v>
      </c>
      <c r="F38" s="34" t="s">
        <v>12</v>
      </c>
      <c r="G38" s="32">
        <v>44302</v>
      </c>
      <c r="H38" s="32">
        <v>44217</v>
      </c>
      <c r="I38" s="39">
        <f>Tabelle14610[[#This Row],[Verfallstag]]-H38</f>
        <v>85</v>
      </c>
      <c r="J38" s="35">
        <v>83</v>
      </c>
      <c r="K38" s="67">
        <f>Tabelle14610[[#This Row],[Prämie je Kontrakt]]*Tabelle14610[[#This Row],[Stk.]]-Tabelle14610[[#This Row],[Transaktionsgebühr]]</f>
        <v>81</v>
      </c>
      <c r="L38" s="75">
        <f>$S$24*Tabelle14610[[#This Row],[Stk.]]</f>
        <v>2</v>
      </c>
      <c r="M38" s="68">
        <f>(Tabelle14610[[#This Row],[Strike]]*100*Tabelle14610[[#This Row],[Stk.]]-K38)</f>
        <v>4919</v>
      </c>
      <c r="N38" s="69"/>
      <c r="O38" s="75">
        <f>IF(Tabelle14610[[#This Row],[Geschlossen
 zu]]&gt;0,$S$24*Tabelle14610[[#This Row],[Stk.]],0)</f>
        <v>0</v>
      </c>
      <c r="P38" s="70"/>
      <c r="Q38" s="41" t="str">
        <f>IF(Tabelle14610[[#This Row],[Geschlossen am]]&lt;&gt;"",Tabelle14610[[#This Row],[Prämie gesamt]]-P38*Tabelle14610[[#This Row],[Stk.]]-Tabelle14610[[#This Row],[Transaktionsgebühr 2]],"")</f>
        <v/>
      </c>
      <c r="R38" s="42" t="str">
        <f>IF(Tabelle14610[[#This Row],[Geschlossen am]]&lt;&gt;"",Tabelle14610[[#This Row],[Geschlossen am]]-Tabelle14610[[#This Row],[Datum Eröffnung]],"")</f>
        <v/>
      </c>
      <c r="S38" s="51" t="str">
        <f>IF(Tabelle14610[[#This Row],[Geschlossen am]]&lt;&gt;"",Q38/Tabelle14610[[#This Row],[Einsatz gesamt]]*365/R38,"")</f>
        <v/>
      </c>
      <c r="T38" s="64">
        <f>IF(Tabelle14610[[#This Row],[Geschlossen am]]&lt;&gt;"",0,1)</f>
        <v>1</v>
      </c>
      <c r="U38" s="64">
        <f>IF(Tabelle14610[[#This Row],[Geschlossen
 zu]]&gt;0,1,0)</f>
        <v>0</v>
      </c>
      <c r="V38" s="10"/>
      <c r="W38" s="10"/>
      <c r="X38" s="10"/>
      <c r="Y38" s="10"/>
      <c r="Z38" s="10"/>
      <c r="AA38" s="10"/>
      <c r="AB38" s="10"/>
      <c r="AC38" s="10"/>
      <c r="AD38" s="10"/>
      <c r="AE38" s="10"/>
    </row>
    <row r="39" spans="2:31" ht="22.5" x14ac:dyDescent="0.25">
      <c r="B39" s="55" t="s">
        <v>123</v>
      </c>
      <c r="C39" s="33" t="s">
        <v>124</v>
      </c>
      <c r="D39" s="34">
        <v>1</v>
      </c>
      <c r="E39" s="35">
        <v>44</v>
      </c>
      <c r="F39" s="34" t="s">
        <v>12</v>
      </c>
      <c r="G39" s="32">
        <v>44274</v>
      </c>
      <c r="H39" s="32">
        <v>44215</v>
      </c>
      <c r="I39" s="39">
        <f>Tabelle14610[[#This Row],[Verfallstag]]-H39</f>
        <v>59</v>
      </c>
      <c r="J39" s="35">
        <v>95</v>
      </c>
      <c r="K39" s="67">
        <f>Tabelle14610[[#This Row],[Prämie je Kontrakt]]*Tabelle14610[[#This Row],[Stk.]]-Tabelle14610[[#This Row],[Transaktionsgebühr]]</f>
        <v>93</v>
      </c>
      <c r="L39" s="75">
        <f>$S$24*Tabelle14610[[#This Row],[Stk.]]</f>
        <v>2</v>
      </c>
      <c r="M39" s="68">
        <f>(Tabelle14610[[#This Row],[Strike]]*100*Tabelle14610[[#This Row],[Stk.]]-K39)</f>
        <v>4307</v>
      </c>
      <c r="N39" s="69">
        <v>44274</v>
      </c>
      <c r="O39" s="75">
        <f>IF(Tabelle14610[[#This Row],[Geschlossen
 zu]]&gt;0,$S$24*Tabelle14610[[#This Row],[Stk.]],0)</f>
        <v>0</v>
      </c>
      <c r="P39" s="70"/>
      <c r="Q39" s="41">
        <f>IF(Tabelle14610[[#This Row],[Geschlossen am]]&lt;&gt;"",Tabelle14610[[#This Row],[Prämie gesamt]]-P39*Tabelle14610[[#This Row],[Stk.]]-Tabelle14610[[#This Row],[Transaktionsgebühr 2]],"")</f>
        <v>93</v>
      </c>
      <c r="R39" s="42">
        <f>IF(Tabelle14610[[#This Row],[Geschlossen am]]&lt;&gt;"",Tabelle14610[[#This Row],[Geschlossen am]]-Tabelle14610[[#This Row],[Datum Eröffnung]],"")</f>
        <v>59</v>
      </c>
      <c r="S39" s="51">
        <f>IF(Tabelle14610[[#This Row],[Geschlossen am]]&lt;&gt;"",Q39/Tabelle14610[[#This Row],[Einsatz gesamt]]*365/R39,"")</f>
        <v>0.13358230393565068</v>
      </c>
      <c r="T39" s="64">
        <f>IF(Tabelle14610[[#This Row],[Geschlossen am]]&lt;&gt;"",0,1)</f>
        <v>0</v>
      </c>
      <c r="U39" s="64">
        <f>IF(Tabelle14610[[#This Row],[Geschlossen
 zu]]&gt;0,1,0)</f>
        <v>0</v>
      </c>
      <c r="V39" s="10"/>
      <c r="W39" s="10"/>
      <c r="X39" s="10"/>
      <c r="Y39" s="10"/>
      <c r="Z39" s="10"/>
      <c r="AA39" s="10"/>
      <c r="AB39" s="10"/>
      <c r="AC39" s="10"/>
      <c r="AD39" s="10"/>
      <c r="AE39" s="10"/>
    </row>
    <row r="40" spans="2:31" x14ac:dyDescent="0.25">
      <c r="B40" s="55" t="s">
        <v>1</v>
      </c>
      <c r="C40" s="33" t="s">
        <v>95</v>
      </c>
      <c r="D40" s="34">
        <v>1</v>
      </c>
      <c r="E40" s="35">
        <v>42.5</v>
      </c>
      <c r="F40" s="34" t="s">
        <v>12</v>
      </c>
      <c r="G40" s="32">
        <v>44274</v>
      </c>
      <c r="H40" s="32">
        <v>44210</v>
      </c>
      <c r="I40" s="79">
        <f>Tabelle14610[[#This Row],[Verfallstag]]-H40</f>
        <v>64</v>
      </c>
      <c r="J40" s="35">
        <v>114</v>
      </c>
      <c r="K40" s="80">
        <f>Tabelle14610[[#This Row],[Prämie je Kontrakt]]*Tabelle14610[[#This Row],[Stk.]]-Tabelle14610[[#This Row],[Transaktionsgebühr]]</f>
        <v>112</v>
      </c>
      <c r="L40" s="81">
        <f>$S$24*Tabelle14610[[#This Row],[Stk.]]</f>
        <v>2</v>
      </c>
      <c r="M40" s="82">
        <f>(Tabelle14610[[#This Row],[Strike]]*100*Tabelle14610[[#This Row],[Stk.]]-K40)</f>
        <v>4138</v>
      </c>
      <c r="N40" s="69">
        <v>44249</v>
      </c>
      <c r="O40" s="81">
        <f>IF(Tabelle14610[[#This Row],[Geschlossen
 zu]]&gt;0,$S$24*Tabelle14610[[#This Row],[Stk.]],0)</f>
        <v>2</v>
      </c>
      <c r="P40" s="70">
        <v>8</v>
      </c>
      <c r="Q40" s="83">
        <f>IF(Tabelle14610[[#This Row],[Geschlossen am]]&lt;&gt;"",Tabelle14610[[#This Row],[Prämie gesamt]]-P40*Tabelle14610[[#This Row],[Stk.]]-Tabelle14610[[#This Row],[Transaktionsgebühr 2]],"")</f>
        <v>102</v>
      </c>
      <c r="R40" s="84">
        <f>IF(Tabelle14610[[#This Row],[Geschlossen am]]&lt;&gt;"",Tabelle14610[[#This Row],[Geschlossen am]]-Tabelle14610[[#This Row],[Datum Eröffnung]],"")</f>
        <v>39</v>
      </c>
      <c r="S40" s="51">
        <f>IF(Tabelle14610[[#This Row],[Geschlossen am]]&lt;&gt;"",Q40/Tabelle14610[[#This Row],[Einsatz gesamt]]*365/R40,"")</f>
        <v>0.23069487303416741</v>
      </c>
      <c r="T40" s="64">
        <f>IF(Tabelle14610[[#This Row],[Geschlossen am]]&lt;&gt;"",0,1)</f>
        <v>0</v>
      </c>
      <c r="U40" s="64">
        <f>IF(Tabelle14610[[#This Row],[Geschlossen
 zu]]&gt;0,1,0)</f>
        <v>1</v>
      </c>
      <c r="V40" s="10"/>
      <c r="W40" s="10"/>
      <c r="X40" s="10"/>
      <c r="Y40" s="10"/>
      <c r="Z40" s="10"/>
      <c r="AA40" s="10"/>
      <c r="AB40" s="10"/>
      <c r="AC40" s="10"/>
      <c r="AD40" s="10"/>
      <c r="AE40" s="10"/>
    </row>
    <row r="41" spans="2:31" ht="21.75" customHeight="1" x14ac:dyDescent="0.25">
      <c r="B41" s="55" t="s">
        <v>122</v>
      </c>
      <c r="C41" s="33" t="s">
        <v>121</v>
      </c>
      <c r="D41" s="34">
        <v>2</v>
      </c>
      <c r="E41" s="35">
        <v>37</v>
      </c>
      <c r="F41" s="34" t="s">
        <v>12</v>
      </c>
      <c r="G41" s="32">
        <v>44274</v>
      </c>
      <c r="H41" s="32">
        <v>44209</v>
      </c>
      <c r="I41" s="79">
        <f>Tabelle14610[[#This Row],[Verfallstag]]-H41</f>
        <v>65</v>
      </c>
      <c r="J41" s="35">
        <v>69</v>
      </c>
      <c r="K41" s="80">
        <f>Tabelle14610[[#This Row],[Prämie je Kontrakt]]*Tabelle14610[[#This Row],[Stk.]]-Tabelle14610[[#This Row],[Transaktionsgebühr]]</f>
        <v>134</v>
      </c>
      <c r="L41" s="81">
        <f>$S$24*Tabelle14610[[#This Row],[Stk.]]</f>
        <v>4</v>
      </c>
      <c r="M41" s="82">
        <f>(Tabelle14610[[#This Row],[Strike]]*100*Tabelle14610[[#This Row],[Stk.]]-K41)</f>
        <v>7266</v>
      </c>
      <c r="N41" s="69">
        <v>44244</v>
      </c>
      <c r="O41" s="81">
        <f>IF(Tabelle14610[[#This Row],[Geschlossen
 zu]]&gt;0,$S$24*Tabelle14610[[#This Row],[Stk.]],0)</f>
        <v>4</v>
      </c>
      <c r="P41" s="70">
        <v>16</v>
      </c>
      <c r="Q41" s="83">
        <f>IF(Tabelle14610[[#This Row],[Geschlossen am]]&lt;&gt;"",Tabelle14610[[#This Row],[Prämie gesamt]]-P41*Tabelle14610[[#This Row],[Stk.]]-Tabelle14610[[#This Row],[Transaktionsgebühr 2]],"")</f>
        <v>98</v>
      </c>
      <c r="R41" s="84">
        <f>IF(Tabelle14610[[#This Row],[Geschlossen am]]&lt;&gt;"",Tabelle14610[[#This Row],[Geschlossen am]]-Tabelle14610[[#This Row],[Datum Eröffnung]],"")</f>
        <v>35</v>
      </c>
      <c r="S41" s="51">
        <f>IF(Tabelle14610[[#This Row],[Geschlossen am]]&lt;&gt;"",Q41/Tabelle14610[[#This Row],[Einsatz gesamt]]*365/R41,"")</f>
        <v>0.14065510597302505</v>
      </c>
      <c r="T41" s="64">
        <f>IF(Tabelle14610[[#This Row],[Geschlossen am]]&lt;&gt;"",0,1)</f>
        <v>0</v>
      </c>
      <c r="U41" s="64">
        <f>IF(Tabelle14610[[#This Row],[Geschlossen
 zu]]&gt;0,1,0)</f>
        <v>1</v>
      </c>
      <c r="V41" s="10"/>
      <c r="W41" s="10"/>
      <c r="X41" s="10"/>
      <c r="Y41" s="10"/>
      <c r="Z41" s="10"/>
      <c r="AA41" s="10"/>
      <c r="AB41" s="10"/>
      <c r="AC41" s="10"/>
      <c r="AD41" s="10"/>
      <c r="AE41" s="10"/>
    </row>
    <row r="42" spans="2:31" x14ac:dyDescent="0.25">
      <c r="B42" s="55" t="s">
        <v>119</v>
      </c>
      <c r="C42" s="33" t="s">
        <v>120</v>
      </c>
      <c r="D42" s="34">
        <v>1</v>
      </c>
      <c r="E42" s="35">
        <v>52.5</v>
      </c>
      <c r="F42" s="34" t="s">
        <v>12</v>
      </c>
      <c r="G42" s="32">
        <v>44274</v>
      </c>
      <c r="H42" s="32">
        <v>44203</v>
      </c>
      <c r="I42" s="79">
        <f>Tabelle14610[[#This Row],[Verfallstag]]-H42</f>
        <v>71</v>
      </c>
      <c r="J42" s="35">
        <v>200</v>
      </c>
      <c r="K42" s="36">
        <f>Tabelle14610[[#This Row],[Prämie je Kontrakt]]*Tabelle14610[[#This Row],[Stk.]]-Tabelle14610[[#This Row],[Transaktionsgebühr]]</f>
        <v>198</v>
      </c>
      <c r="L42" s="81">
        <f>$S$24*Tabelle14610[[#This Row],[Stk.]]</f>
        <v>2</v>
      </c>
      <c r="M42" s="82">
        <f>(Tabelle14610[[#This Row],[Strike]]*100*Tabelle14610[[#This Row],[Stk.]]-K42)</f>
        <v>5052</v>
      </c>
      <c r="N42" s="69">
        <v>44274</v>
      </c>
      <c r="O42" s="81">
        <f>IF(Tabelle14610[[#This Row],[Geschlossen
 zu]]&gt;0,$S$24*Tabelle14610[[#This Row],[Stk.]],0)</f>
        <v>0</v>
      </c>
      <c r="P42" s="70"/>
      <c r="Q42" s="83">
        <f>IF(Tabelle14610[[#This Row],[Geschlossen am]]&lt;&gt;"",Tabelle14610[[#This Row],[Prämie gesamt]]-P42*Tabelle14610[[#This Row],[Stk.]]-Tabelle14610[[#This Row],[Transaktionsgebühr 2]],"")</f>
        <v>198</v>
      </c>
      <c r="R42" s="84">
        <f>IF(Tabelle14610[[#This Row],[Geschlossen am]]&lt;&gt;"",Tabelle14610[[#This Row],[Geschlossen am]]-Tabelle14610[[#This Row],[Datum Eröffnung]],"")</f>
        <v>71</v>
      </c>
      <c r="S42" s="51">
        <f>IF(Tabelle14610[[#This Row],[Geschlossen am]]&lt;&gt;"",Q42/Tabelle14610[[#This Row],[Einsatz gesamt]]*365/R42,"")</f>
        <v>0.20148205145361478</v>
      </c>
      <c r="T42" s="64">
        <f>IF(Tabelle14610[[#This Row],[Geschlossen am]]&lt;&gt;"",0,1)</f>
        <v>0</v>
      </c>
      <c r="U42" s="64">
        <f>IF(Tabelle14610[[#This Row],[Geschlossen
 zu]]&gt;0,1,0)</f>
        <v>0</v>
      </c>
      <c r="V42" s="10"/>
      <c r="W42" s="10"/>
      <c r="X42" s="10"/>
      <c r="Y42" s="10"/>
      <c r="Z42" s="10"/>
      <c r="AA42" s="10"/>
      <c r="AB42" s="10"/>
      <c r="AC42" s="10"/>
      <c r="AD42" s="10"/>
      <c r="AE42" s="10"/>
    </row>
    <row r="43" spans="2:31" ht="22.5" x14ac:dyDescent="0.25">
      <c r="B43" s="55" t="s">
        <v>106</v>
      </c>
      <c r="C43" s="33" t="s">
        <v>107</v>
      </c>
      <c r="D43" s="34">
        <v>1</v>
      </c>
      <c r="E43" s="35">
        <v>70</v>
      </c>
      <c r="F43" s="34" t="s">
        <v>12</v>
      </c>
      <c r="G43" s="32">
        <v>44246</v>
      </c>
      <c r="H43" s="32">
        <v>44186</v>
      </c>
      <c r="I43" s="39">
        <f>Tabelle14610[[#This Row],[Verfallstag]]-H43</f>
        <v>60</v>
      </c>
      <c r="J43" s="35">
        <v>114</v>
      </c>
      <c r="K43" s="67">
        <f>Tabelle14610[[#This Row],[Prämie je Kontrakt]]*Tabelle14610[[#This Row],[Stk.]]-Tabelle14610[[#This Row],[Transaktionsgebühr]]</f>
        <v>112</v>
      </c>
      <c r="L43" s="75">
        <f>$S$24*Tabelle14610[[#This Row],[Stk.]]</f>
        <v>2</v>
      </c>
      <c r="M43" s="68">
        <f>(Tabelle14610[[#This Row],[Strike]]*100*Tabelle14610[[#This Row],[Stk.]]-K43)</f>
        <v>6888</v>
      </c>
      <c r="N43" s="69">
        <v>44218</v>
      </c>
      <c r="O43" s="75">
        <f>IF(Tabelle14610[[#This Row],[Geschlossen
 zu]]&gt;0,$S$24*Tabelle14610[[#This Row],[Stk.]],0)</f>
        <v>2</v>
      </c>
      <c r="P43" s="70">
        <v>22</v>
      </c>
      <c r="Q43" s="41">
        <f>IF(Tabelle14610[[#This Row],[Geschlossen am]]&lt;&gt;"",Tabelle14610[[#This Row],[Prämie gesamt]]-P43*Tabelle14610[[#This Row],[Stk.]]-Tabelle14610[[#This Row],[Transaktionsgebühr 2]],"")</f>
        <v>88</v>
      </c>
      <c r="R43" s="42">
        <f>IF(Tabelle14610[[#This Row],[Geschlossen am]]&lt;&gt;"",Tabelle14610[[#This Row],[Geschlossen am]]-Tabelle14610[[#This Row],[Datum Eröffnung]],"")</f>
        <v>32</v>
      </c>
      <c r="S43" s="51">
        <f>IF(Tabelle14610[[#This Row],[Geschlossen am]]&lt;&gt;"",Q43/Tabelle14610[[#This Row],[Einsatz gesamt]]*365/R43,"")</f>
        <v>0.14572444831591175</v>
      </c>
      <c r="T43" s="64">
        <f>IF(Tabelle14610[[#This Row],[Geschlossen am]]&lt;&gt;"",0,1)</f>
        <v>0</v>
      </c>
      <c r="U43" s="64">
        <f>IF(Tabelle14610[[#This Row],[Geschlossen
 zu]]&gt;0,1,0)</f>
        <v>1</v>
      </c>
      <c r="V43" s="10"/>
      <c r="W43" s="10"/>
      <c r="X43" s="10"/>
      <c r="Y43" s="10"/>
      <c r="Z43" s="10"/>
      <c r="AA43" s="10"/>
      <c r="AB43" s="10"/>
      <c r="AC43" s="10"/>
      <c r="AD43" s="10"/>
      <c r="AE43" s="10"/>
    </row>
    <row r="44" spans="2:31" s="29" customFormat="1" x14ac:dyDescent="0.25">
      <c r="B44" s="55" t="s">
        <v>59</v>
      </c>
      <c r="C44" s="33" t="s">
        <v>65</v>
      </c>
      <c r="D44" s="34">
        <v>1</v>
      </c>
      <c r="E44" s="35">
        <v>36</v>
      </c>
      <c r="F44" s="34" t="s">
        <v>12</v>
      </c>
      <c r="G44" s="32">
        <v>44246</v>
      </c>
      <c r="H44" s="32">
        <v>44181</v>
      </c>
      <c r="I44" s="58">
        <f>Tabelle14610[[#This Row],[Verfallstag]]-H44</f>
        <v>65</v>
      </c>
      <c r="J44" s="35">
        <v>115</v>
      </c>
      <c r="K44" s="36">
        <f>Tabelle14610[[#This Row],[Prämie je Kontrakt]]*Tabelle14610[[#This Row],[Stk.]]-Tabelle14610[[#This Row],[Transaktionsgebühr]]</f>
        <v>113</v>
      </c>
      <c r="L44" s="75">
        <f>$S$24*Tabelle14610[[#This Row],[Stk.]]</f>
        <v>2</v>
      </c>
      <c r="M44" s="37">
        <f>(Tabelle14610[[#This Row],[Strike]]*100*Tabelle14610[[#This Row],[Stk.]]-K44)</f>
        <v>3487</v>
      </c>
      <c r="N44" s="32">
        <v>44209</v>
      </c>
      <c r="O44" s="75">
        <f>IF(Tabelle14610[[#This Row],[Geschlossen
 zu]]&gt;0,$S$24*Tabelle14610[[#This Row],[Stk.]],0)</f>
        <v>2</v>
      </c>
      <c r="P44" s="35">
        <v>28</v>
      </c>
      <c r="Q44" s="41">
        <f>IF(Tabelle14610[[#This Row],[Geschlossen am]]&lt;&gt;"",Tabelle14610[[#This Row],[Prämie gesamt]]-P44*Tabelle14610[[#This Row],[Stk.]]-Tabelle14610[[#This Row],[Transaktionsgebühr 2]],"")</f>
        <v>83</v>
      </c>
      <c r="R44" s="38">
        <f>IF(Tabelle14610[[#This Row],[Geschlossen am]]&lt;&gt;"",Tabelle14610[[#This Row],[Geschlossen am]]-Tabelle14610[[#This Row],[Datum Eröffnung]],"")</f>
        <v>28</v>
      </c>
      <c r="S44" s="50">
        <f>IF(Tabelle14610[[#This Row],[Geschlossen am]]&lt;&gt;"",Q44/Tabelle14610[[#This Row],[Einsatz gesamt]]*365/R44,"")</f>
        <v>0.31028514072678115</v>
      </c>
      <c r="T44" s="64">
        <f>IF(Tabelle14610[[#This Row],[Geschlossen am]]&lt;&gt;"",0,1)</f>
        <v>0</v>
      </c>
      <c r="U44" s="64">
        <f>IF(Tabelle14610[[#This Row],[Geschlossen
 zu]]&gt;0,1,0)</f>
        <v>1</v>
      </c>
      <c r="V44" s="30"/>
      <c r="W44" s="30"/>
      <c r="X44" s="30"/>
      <c r="Y44" s="30"/>
      <c r="Z44" s="30"/>
      <c r="AA44" s="30"/>
      <c r="AB44" s="30"/>
      <c r="AC44" s="30"/>
      <c r="AD44" s="30"/>
      <c r="AE44" s="30"/>
    </row>
    <row r="45" spans="2:31" s="29" customFormat="1" ht="22.5" x14ac:dyDescent="0.25">
      <c r="B45" s="55" t="s">
        <v>46</v>
      </c>
      <c r="C45" s="33" t="s">
        <v>66</v>
      </c>
      <c r="D45" s="34">
        <v>1</v>
      </c>
      <c r="E45" s="35">
        <v>46</v>
      </c>
      <c r="F45" s="34" t="s">
        <v>12</v>
      </c>
      <c r="G45" s="32">
        <v>44218</v>
      </c>
      <c r="H45" s="32">
        <v>44174</v>
      </c>
      <c r="I45" s="39">
        <f>Tabelle14610[[#This Row],[Verfallstag]]-H45</f>
        <v>44</v>
      </c>
      <c r="J45" s="35">
        <v>93</v>
      </c>
      <c r="K45" s="40">
        <f>Tabelle14610[[#This Row],[Prämie je Kontrakt]]*Tabelle14610[[#This Row],[Stk.]]-Tabelle14610[[#This Row],[Transaktionsgebühr]]</f>
        <v>91</v>
      </c>
      <c r="L45" s="75">
        <f>$S$24*Tabelle14610[[#This Row],[Stk.]]</f>
        <v>2</v>
      </c>
      <c r="M45" s="41">
        <f>(Tabelle14610[[#This Row],[Strike]]*100*Tabelle14610[[#This Row],[Stk.]]-K45)</f>
        <v>4509</v>
      </c>
      <c r="N45" s="32">
        <v>44218</v>
      </c>
      <c r="O45" s="75">
        <f>IF(Tabelle14610[[#This Row],[Geschlossen
 zu]]&gt;0,$S$24*Tabelle14610[[#This Row],[Stk.]],0)</f>
        <v>0</v>
      </c>
      <c r="P45" s="35"/>
      <c r="Q45" s="41">
        <f>IF(Tabelle14610[[#This Row],[Geschlossen am]]&lt;&gt;"",Tabelle14610[[#This Row],[Prämie gesamt]]-P45*Tabelle14610[[#This Row],[Stk.]]-Tabelle14610[[#This Row],[Transaktionsgebühr 2]],"")</f>
        <v>91</v>
      </c>
      <c r="R45" s="42">
        <f>IF(Tabelle14610[[#This Row],[Geschlossen am]]&lt;&gt;"",Tabelle14610[[#This Row],[Geschlossen am]]-Tabelle14610[[#This Row],[Datum Eröffnung]],"")</f>
        <v>44</v>
      </c>
      <c r="S45" s="51">
        <f>IF(Tabelle14610[[#This Row],[Geschlossen am]]&lt;&gt;"",Q45/Tabelle14610[[#This Row],[Einsatz gesamt]]*365/R45,"")</f>
        <v>0.16741768987277969</v>
      </c>
      <c r="T45" s="64">
        <f>IF(Tabelle14610[[#This Row],[Geschlossen am]]&lt;&gt;"",0,1)</f>
        <v>0</v>
      </c>
      <c r="U45" s="64">
        <f>IF(Tabelle14610[[#This Row],[Geschlossen
 zu]]&gt;0,1,0)</f>
        <v>0</v>
      </c>
      <c r="V45" s="30"/>
      <c r="W45" s="30"/>
      <c r="X45" s="30"/>
      <c r="Y45" s="30"/>
      <c r="Z45" s="30"/>
      <c r="AA45" s="30"/>
      <c r="AB45" s="30"/>
      <c r="AC45" s="30"/>
      <c r="AD45" s="30"/>
      <c r="AE45" s="30"/>
    </row>
    <row r="46" spans="2:31" s="29" customFormat="1" ht="22.5" x14ac:dyDescent="0.25">
      <c r="B46" s="55" t="s">
        <v>37</v>
      </c>
      <c r="C46" s="33" t="s">
        <v>67</v>
      </c>
      <c r="D46" s="34">
        <v>1</v>
      </c>
      <c r="E46" s="35">
        <v>82.5</v>
      </c>
      <c r="F46" s="34" t="s">
        <v>12</v>
      </c>
      <c r="G46" s="32">
        <v>44211</v>
      </c>
      <c r="H46" s="32">
        <v>44172</v>
      </c>
      <c r="I46" s="39">
        <f>Tabelle14610[[#This Row],[Verfallstag]]-H46</f>
        <v>39</v>
      </c>
      <c r="J46" s="35">
        <v>145</v>
      </c>
      <c r="K46" s="40">
        <f>Tabelle14610[[#This Row],[Prämie je Kontrakt]]*Tabelle14610[[#This Row],[Stk.]]-Tabelle14610[[#This Row],[Transaktionsgebühr]]</f>
        <v>143</v>
      </c>
      <c r="L46" s="75">
        <f>$S$24*Tabelle14610[[#This Row],[Stk.]]</f>
        <v>2</v>
      </c>
      <c r="M46" s="41">
        <f>(Tabelle14610[[#This Row],[Strike]]*100*Tabelle14610[[#This Row],[Stk.]]-K46)</f>
        <v>8107</v>
      </c>
      <c r="N46" s="32">
        <v>44193</v>
      </c>
      <c r="O46" s="75">
        <f>IF(Tabelle14610[[#This Row],[Geschlossen
 zu]]&gt;0,$S$24*Tabelle14610[[#This Row],[Stk.]],0)</f>
        <v>2</v>
      </c>
      <c r="P46" s="35">
        <v>23</v>
      </c>
      <c r="Q46" s="41">
        <f>IF(Tabelle14610[[#This Row],[Geschlossen am]]&lt;&gt;"",Tabelle14610[[#This Row],[Prämie gesamt]]-P46*Tabelle14610[[#This Row],[Stk.]]-Tabelle14610[[#This Row],[Transaktionsgebühr 2]],"")</f>
        <v>118</v>
      </c>
      <c r="R46" s="42">
        <f>IF(Tabelle14610[[#This Row],[Geschlossen am]]&lt;&gt;"",Tabelle14610[[#This Row],[Geschlossen am]]-Tabelle14610[[#This Row],[Datum Eröffnung]],"")</f>
        <v>21</v>
      </c>
      <c r="S46" s="51">
        <f>IF(Tabelle14610[[#This Row],[Geschlossen am]]&lt;&gt;"",Q46/Tabelle14610[[#This Row],[Einsatz gesamt]]*365/R46,"")</f>
        <v>0.25298536831779711</v>
      </c>
      <c r="T46" s="64">
        <f>IF(Tabelle14610[[#This Row],[Geschlossen am]]&lt;&gt;"",0,1)</f>
        <v>0</v>
      </c>
      <c r="U46" s="64">
        <f>IF(Tabelle14610[[#This Row],[Geschlossen
 zu]]&gt;0,1,0)</f>
        <v>1</v>
      </c>
      <c r="V46" s="30"/>
      <c r="W46" s="30"/>
      <c r="X46" s="30"/>
      <c r="Y46" s="30"/>
      <c r="Z46" s="30"/>
      <c r="AA46" s="30"/>
      <c r="AB46" s="30"/>
      <c r="AC46" s="30"/>
      <c r="AD46" s="30"/>
      <c r="AE46" s="30"/>
    </row>
    <row r="47" spans="2:31" s="29" customFormat="1" ht="22.5" x14ac:dyDescent="0.25">
      <c r="B47" s="55" t="s">
        <v>14</v>
      </c>
      <c r="C47" s="33" t="s">
        <v>68</v>
      </c>
      <c r="D47" s="34">
        <v>2</v>
      </c>
      <c r="E47" s="35">
        <v>30</v>
      </c>
      <c r="F47" s="34" t="s">
        <v>12</v>
      </c>
      <c r="G47" s="32">
        <v>44211</v>
      </c>
      <c r="H47" s="32">
        <v>44168</v>
      </c>
      <c r="I47" s="39">
        <f>Tabelle14610[[#This Row],[Verfallstag]]-H47</f>
        <v>43</v>
      </c>
      <c r="J47" s="35">
        <f>63</f>
        <v>63</v>
      </c>
      <c r="K47" s="40">
        <f>Tabelle14610[[#This Row],[Prämie je Kontrakt]]*Tabelle14610[[#This Row],[Stk.]]-Tabelle14610[[#This Row],[Transaktionsgebühr]]</f>
        <v>122</v>
      </c>
      <c r="L47" s="75">
        <f>$S$24*Tabelle14610[[#This Row],[Stk.]]</f>
        <v>4</v>
      </c>
      <c r="M47" s="41">
        <f>(Tabelle14610[[#This Row],[Strike]]*100*Tabelle14610[[#This Row],[Stk.]]-K47)</f>
        <v>5878</v>
      </c>
      <c r="N47" s="32">
        <v>44211</v>
      </c>
      <c r="O47" s="75">
        <f>IF(Tabelle14610[[#This Row],[Geschlossen
 zu]]&gt;0,$S$24*Tabelle14610[[#This Row],[Stk.]],0)</f>
        <v>0</v>
      </c>
      <c r="P47" s="35"/>
      <c r="Q47" s="41">
        <f>IF(Tabelle14610[[#This Row],[Geschlossen am]]&lt;&gt;"",Tabelle14610[[#This Row],[Prämie gesamt]]-P47*Tabelle14610[[#This Row],[Stk.]]-Tabelle14610[[#This Row],[Transaktionsgebühr 2]],"")</f>
        <v>122</v>
      </c>
      <c r="R47" s="43">
        <f>IF(Tabelle14610[[#This Row],[Geschlossen am]]&lt;&gt;"",Tabelle14610[[#This Row],[Geschlossen am]]-Tabelle14610[[#This Row],[Datum Eröffnung]],"")</f>
        <v>43</v>
      </c>
      <c r="S47" s="51">
        <f>IF(Tabelle14610[[#This Row],[Geschlossen am]]&lt;&gt;"",Q47/Tabelle14610[[#This Row],[Einsatz gesamt]]*365/R47,"")</f>
        <v>0.17617920982457252</v>
      </c>
      <c r="T47" s="64">
        <f>IF(Tabelle14610[[#This Row],[Geschlossen am]]&lt;&gt;"",0,1)</f>
        <v>0</v>
      </c>
      <c r="U47" s="64">
        <f>IF(Tabelle14610[[#This Row],[Geschlossen
 zu]]&gt;0,1,0)</f>
        <v>0</v>
      </c>
      <c r="V47" s="30"/>
      <c r="W47" s="30"/>
      <c r="X47" s="30"/>
      <c r="Y47" s="30"/>
      <c r="Z47" s="30"/>
      <c r="AA47" s="30"/>
      <c r="AB47" s="30"/>
      <c r="AC47" s="30"/>
      <c r="AD47" s="30"/>
      <c r="AE47" s="30"/>
    </row>
    <row r="48" spans="2:31" s="29" customFormat="1" x14ac:dyDescent="0.25">
      <c r="B48" s="55" t="s">
        <v>7</v>
      </c>
      <c r="C48" s="33" t="s">
        <v>69</v>
      </c>
      <c r="D48" s="34">
        <v>1</v>
      </c>
      <c r="E48" s="35">
        <v>40</v>
      </c>
      <c r="F48" s="34" t="s">
        <v>12</v>
      </c>
      <c r="G48" s="32">
        <v>44246</v>
      </c>
      <c r="H48" s="32">
        <v>44166</v>
      </c>
      <c r="I48" s="39">
        <f>Tabelle14610[[#This Row],[Verfallstag]]-H48</f>
        <v>80</v>
      </c>
      <c r="J48" s="35">
        <v>183</v>
      </c>
      <c r="K48" s="40">
        <f>Tabelle14610[[#This Row],[Prämie je Kontrakt]]*Tabelle14610[[#This Row],[Stk.]]-Tabelle14610[[#This Row],[Transaktionsgebühr]]</f>
        <v>181</v>
      </c>
      <c r="L48" s="75">
        <f>$S$24*Tabelle14610[[#This Row],[Stk.]]</f>
        <v>2</v>
      </c>
      <c r="M48" s="41">
        <f>(Tabelle14610[[#This Row],[Strike]]*100*Tabelle14610[[#This Row],[Stk.]]-K48)</f>
        <v>3819</v>
      </c>
      <c r="N48" s="32">
        <v>44232</v>
      </c>
      <c r="O48" s="75">
        <f>IF(Tabelle14610[[#This Row],[Geschlossen
 zu]]&gt;0,$S$24*Tabelle14610[[#This Row],[Stk.]],0)</f>
        <v>2</v>
      </c>
      <c r="P48" s="35">
        <v>18</v>
      </c>
      <c r="Q48" s="41">
        <f>IF(Tabelle14610[[#This Row],[Geschlossen am]]&lt;&gt;"",Tabelle14610[[#This Row],[Prämie gesamt]]-P48*Tabelle14610[[#This Row],[Stk.]]-Tabelle14610[[#This Row],[Transaktionsgebühr 2]],"")</f>
        <v>161</v>
      </c>
      <c r="R48" s="43">
        <f>IF(Tabelle14610[[#This Row],[Geschlossen am]]&lt;&gt;"",Tabelle14610[[#This Row],[Geschlossen am]]-Tabelle14610[[#This Row],[Datum Eröffnung]],"")</f>
        <v>66</v>
      </c>
      <c r="S48" s="51">
        <f>IF(Tabelle14610[[#This Row],[Geschlossen am]]&lt;&gt;"",Q48/Tabelle14610[[#This Row],[Einsatz gesamt]]*365/R48,"")</f>
        <v>0.23314448491196332</v>
      </c>
      <c r="T48" s="64">
        <f>IF(Tabelle14610[[#This Row],[Geschlossen am]]&lt;&gt;"",0,1)</f>
        <v>0</v>
      </c>
      <c r="U48" s="64">
        <f>IF(Tabelle14610[[#This Row],[Geschlossen
 zu]]&gt;0,1,0)</f>
        <v>1</v>
      </c>
    </row>
    <row r="49" spans="2:21" s="29" customFormat="1" x14ac:dyDescent="0.25">
      <c r="B49" s="56" t="s">
        <v>13</v>
      </c>
      <c r="C49" s="33" t="s">
        <v>70</v>
      </c>
      <c r="D49" s="34">
        <v>2</v>
      </c>
      <c r="E49" s="35">
        <v>29</v>
      </c>
      <c r="F49" s="34" t="s">
        <v>12</v>
      </c>
      <c r="G49" s="32">
        <v>44183</v>
      </c>
      <c r="H49" s="32">
        <v>44158</v>
      </c>
      <c r="I49" s="39">
        <f>Tabelle14610[[#This Row],[Verfallstag]]-H49</f>
        <v>25</v>
      </c>
      <c r="J49" s="35">
        <f>65</f>
        <v>65</v>
      </c>
      <c r="K49" s="40">
        <f>Tabelle14610[[#This Row],[Prämie je Kontrakt]]*Tabelle14610[[#This Row],[Stk.]]-Tabelle14610[[#This Row],[Transaktionsgebühr]]</f>
        <v>126</v>
      </c>
      <c r="L49" s="75">
        <f>$S$24*Tabelle14610[[#This Row],[Stk.]]</f>
        <v>4</v>
      </c>
      <c r="M49" s="41">
        <f>(Tabelle14610[[#This Row],[Strike]]*100*Tabelle14610[[#This Row],[Stk.]]-K49)</f>
        <v>5674</v>
      </c>
      <c r="N49" s="32">
        <v>44183</v>
      </c>
      <c r="O49" s="75">
        <f>IF(Tabelle14610[[#This Row],[Geschlossen
 zu]]&gt;0,$S$24*Tabelle14610[[#This Row],[Stk.]],0)</f>
        <v>0</v>
      </c>
      <c r="P49" s="35"/>
      <c r="Q49" s="41">
        <f>IF(Tabelle14610[[#This Row],[Geschlossen am]]&lt;&gt;"",Tabelle14610[[#This Row],[Prämie gesamt]]-P49*Tabelle14610[[#This Row],[Stk.]]-Tabelle14610[[#This Row],[Transaktionsgebühr 2]],"")</f>
        <v>126</v>
      </c>
      <c r="R49" s="43">
        <f>IF(Tabelle14610[[#This Row],[Geschlossen am]]&lt;&gt;"",Tabelle14610[[#This Row],[Geschlossen am]]-Tabelle14610[[#This Row],[Datum Eröffnung]],"")</f>
        <v>25</v>
      </c>
      <c r="S49" s="51">
        <f>IF(Tabelle14610[[#This Row],[Geschlossen am]]&lt;&gt;"",Q49/Tabelle14610[[#This Row],[Einsatz gesamt]]*365/R49,"")</f>
        <v>0.32421572083186462</v>
      </c>
      <c r="T49" s="64">
        <f>IF(Tabelle14610[[#This Row],[Geschlossen am]]&lt;&gt;"",0,1)</f>
        <v>0</v>
      </c>
      <c r="U49" s="64">
        <f>IF(Tabelle14610[[#This Row],[Geschlossen
 zu]]&gt;0,1,0)</f>
        <v>0</v>
      </c>
    </row>
    <row r="50" spans="2:21" s="29" customFormat="1" x14ac:dyDescent="0.25">
      <c r="B50" s="56" t="s">
        <v>4</v>
      </c>
      <c r="C50" s="33" t="s">
        <v>71</v>
      </c>
      <c r="D50" s="34">
        <v>1</v>
      </c>
      <c r="E50" s="35">
        <v>45</v>
      </c>
      <c r="F50" s="34" t="s">
        <v>12</v>
      </c>
      <c r="G50" s="32">
        <v>44211</v>
      </c>
      <c r="H50" s="32">
        <v>44154</v>
      </c>
      <c r="I50" s="39">
        <f>Tabelle14610[[#This Row],[Verfallstag]]-H50</f>
        <v>57</v>
      </c>
      <c r="J50" s="35">
        <v>109</v>
      </c>
      <c r="K50" s="40">
        <f>Tabelle14610[[#This Row],[Prämie je Kontrakt]]*Tabelle14610[[#This Row],[Stk.]]-Tabelle14610[[#This Row],[Transaktionsgebühr]]</f>
        <v>107</v>
      </c>
      <c r="L50" s="75">
        <f>$S$24*Tabelle14610[[#This Row],[Stk.]]</f>
        <v>2</v>
      </c>
      <c r="M50" s="41">
        <f>(Tabelle14610[[#This Row],[Strike]]*100*Tabelle14610[[#This Row],[Stk.]]-K50)</f>
        <v>4393</v>
      </c>
      <c r="N50" s="32">
        <v>44181</v>
      </c>
      <c r="O50" s="75">
        <f>IF(Tabelle14610[[#This Row],[Geschlossen
 zu]]&gt;0,$S$24*Tabelle14610[[#This Row],[Stk.]],0)</f>
        <v>2</v>
      </c>
      <c r="P50" s="35">
        <v>15</v>
      </c>
      <c r="Q50" s="41">
        <f>IF(Tabelle14610[[#This Row],[Geschlossen am]]&lt;&gt;"",Tabelle14610[[#This Row],[Prämie gesamt]]-P50*Tabelle14610[[#This Row],[Stk.]]-Tabelle14610[[#This Row],[Transaktionsgebühr 2]],"")</f>
        <v>90</v>
      </c>
      <c r="R50" s="43">
        <f>IF(Tabelle14610[[#This Row],[Geschlossen am]]&lt;&gt;"",Tabelle14610[[#This Row],[Geschlossen am]]-Tabelle14610[[#This Row],[Datum Eröffnung]],"")</f>
        <v>27</v>
      </c>
      <c r="S50" s="51">
        <f>IF(Tabelle14610[[#This Row],[Geschlossen am]]&lt;&gt;"",Q50/Tabelle14610[[#This Row],[Einsatz gesamt]]*365/R50,"")</f>
        <v>0.27695576295621821</v>
      </c>
      <c r="T50" s="64">
        <f>IF(Tabelle14610[[#This Row],[Geschlossen am]]&lt;&gt;"",0,1)</f>
        <v>0</v>
      </c>
      <c r="U50" s="64">
        <f>IF(Tabelle14610[[#This Row],[Geschlossen
 zu]]&gt;0,1,0)</f>
        <v>1</v>
      </c>
    </row>
    <row r="51" spans="2:21" s="29" customFormat="1" ht="22.5" x14ac:dyDescent="0.25">
      <c r="B51" s="56" t="s">
        <v>5</v>
      </c>
      <c r="C51" s="33" t="s">
        <v>72</v>
      </c>
      <c r="D51" s="34">
        <v>1</v>
      </c>
      <c r="E51" s="35">
        <v>20</v>
      </c>
      <c r="F51" s="34" t="s">
        <v>12</v>
      </c>
      <c r="G51" s="32">
        <v>44211</v>
      </c>
      <c r="H51" s="32">
        <v>44151</v>
      </c>
      <c r="I51" s="39">
        <f>Tabelle14610[[#This Row],[Verfallstag]]-H51</f>
        <v>60</v>
      </c>
      <c r="J51" s="35">
        <v>47</v>
      </c>
      <c r="K51" s="40">
        <f>Tabelle14610[[#This Row],[Prämie je Kontrakt]]*Tabelle14610[[#This Row],[Stk.]]-Tabelle14610[[#This Row],[Transaktionsgebühr]]</f>
        <v>45</v>
      </c>
      <c r="L51" s="75">
        <f>$S$24*Tabelle14610[[#This Row],[Stk.]]</f>
        <v>2</v>
      </c>
      <c r="M51" s="41">
        <f>(Tabelle14610[[#This Row],[Strike]]*100*Tabelle14610[[#This Row],[Stk.]]-K51)</f>
        <v>1955</v>
      </c>
      <c r="N51" s="32">
        <v>44211</v>
      </c>
      <c r="O51" s="75">
        <f>IF(Tabelle14610[[#This Row],[Geschlossen
 zu]]&gt;0,$S$24*Tabelle14610[[#This Row],[Stk.]],0)</f>
        <v>0</v>
      </c>
      <c r="P51" s="35"/>
      <c r="Q51" s="41">
        <f>IF(Tabelle14610[[#This Row],[Geschlossen am]]&lt;&gt;"",Tabelle14610[[#This Row],[Prämie gesamt]]-P51*Tabelle14610[[#This Row],[Stk.]]-Tabelle14610[[#This Row],[Transaktionsgebühr 2]],"")</f>
        <v>45</v>
      </c>
      <c r="R51" s="43">
        <f>IF(Tabelle14610[[#This Row],[Geschlossen am]]&lt;&gt;"",Tabelle14610[[#This Row],[Geschlossen am]]-Tabelle14610[[#This Row],[Datum Eröffnung]],"")</f>
        <v>60</v>
      </c>
      <c r="S51" s="51">
        <f>IF(Tabelle14610[[#This Row],[Geschlossen am]]&lt;&gt;"",Q51/Tabelle14610[[#This Row],[Einsatz gesamt]]*365/R51,"")</f>
        <v>0.14002557544757036</v>
      </c>
      <c r="T51" s="64">
        <f>IF(Tabelle14610[[#This Row],[Geschlossen am]]&lt;&gt;"",0,1)</f>
        <v>0</v>
      </c>
      <c r="U51" s="64">
        <f>IF(Tabelle14610[[#This Row],[Geschlossen
 zu]]&gt;0,1,0)</f>
        <v>0</v>
      </c>
    </row>
    <row r="52" spans="2:21" s="29" customFormat="1" ht="22.5" x14ac:dyDescent="0.25">
      <c r="B52" s="56" t="s">
        <v>5</v>
      </c>
      <c r="C52" s="33" t="s">
        <v>72</v>
      </c>
      <c r="D52" s="34">
        <v>1</v>
      </c>
      <c r="E52" s="35">
        <v>23</v>
      </c>
      <c r="F52" s="34" t="s">
        <v>12</v>
      </c>
      <c r="G52" s="32">
        <v>44211</v>
      </c>
      <c r="H52" s="32">
        <v>44151</v>
      </c>
      <c r="I52" s="39">
        <f>Tabelle14610[[#This Row],[Verfallstag]]-H52</f>
        <v>60</v>
      </c>
      <c r="J52" s="35">
        <v>108</v>
      </c>
      <c r="K52" s="40">
        <f>Tabelle14610[[#This Row],[Prämie je Kontrakt]]*Tabelle14610[[#This Row],[Stk.]]-Tabelle14610[[#This Row],[Transaktionsgebühr]]</f>
        <v>106</v>
      </c>
      <c r="L52" s="75">
        <f>$S$24*Tabelle14610[[#This Row],[Stk.]]</f>
        <v>2</v>
      </c>
      <c r="M52" s="41">
        <f>(Tabelle14610[[#This Row],[Strike]]*100*Tabelle14610[[#This Row],[Stk.]]-K52)</f>
        <v>2194</v>
      </c>
      <c r="N52" s="32">
        <v>44169</v>
      </c>
      <c r="O52" s="75">
        <f>IF(Tabelle14610[[#This Row],[Geschlossen
 zu]]&gt;0,$S$24*Tabelle14610[[#This Row],[Stk.]],0)</f>
        <v>2</v>
      </c>
      <c r="P52" s="35">
        <v>30</v>
      </c>
      <c r="Q52" s="41">
        <f>IF(Tabelle14610[[#This Row],[Geschlossen am]]&lt;&gt;"",Tabelle14610[[#This Row],[Prämie gesamt]]-P52*Tabelle14610[[#This Row],[Stk.]]-Tabelle14610[[#This Row],[Transaktionsgebühr 2]],"")</f>
        <v>74</v>
      </c>
      <c r="R52" s="43">
        <f>IF(Tabelle14610[[#This Row],[Geschlossen am]]&lt;&gt;"",Tabelle14610[[#This Row],[Geschlossen am]]-Tabelle14610[[#This Row],[Datum Eröffnung]],"")</f>
        <v>18</v>
      </c>
      <c r="S52" s="51">
        <f>IF(Tabelle14610[[#This Row],[Geschlossen am]]&lt;&gt;"",Q52/Tabelle14610[[#This Row],[Einsatz gesamt]]*365/R52,"")</f>
        <v>0.68393598703534897</v>
      </c>
      <c r="T52" s="64">
        <f>IF(Tabelle14610[[#This Row],[Geschlossen am]]&lt;&gt;"",0,1)</f>
        <v>0</v>
      </c>
      <c r="U52" s="64">
        <f>IF(Tabelle14610[[#This Row],[Geschlossen
 zu]]&gt;0,1,0)</f>
        <v>1</v>
      </c>
    </row>
    <row r="53" spans="2:21" s="29" customFormat="1" x14ac:dyDescent="0.25">
      <c r="B53" s="56" t="s">
        <v>7</v>
      </c>
      <c r="C53" s="33" t="s">
        <v>69</v>
      </c>
      <c r="D53" s="34">
        <v>1</v>
      </c>
      <c r="E53" s="35">
        <v>37</v>
      </c>
      <c r="F53" s="34" t="s">
        <v>12</v>
      </c>
      <c r="G53" s="32">
        <v>44211</v>
      </c>
      <c r="H53" s="32">
        <v>44146</v>
      </c>
      <c r="I53" s="39">
        <f>Tabelle14610[[#This Row],[Verfallstag]]-H53</f>
        <v>65</v>
      </c>
      <c r="J53" s="35">
        <v>105</v>
      </c>
      <c r="K53" s="40">
        <f>Tabelle14610[[#This Row],[Prämie je Kontrakt]]*Tabelle14610[[#This Row],[Stk.]]-Tabelle14610[[#This Row],[Transaktionsgebühr]]</f>
        <v>103</v>
      </c>
      <c r="L53" s="75">
        <f>$S$24*Tabelle14610[[#This Row],[Stk.]]</f>
        <v>2</v>
      </c>
      <c r="M53" s="41">
        <f>(Tabelle14610[[#This Row],[Strike]]*100*Tabelle14610[[#This Row],[Stk.]]-K53)</f>
        <v>3597</v>
      </c>
      <c r="N53" s="32">
        <v>44162</v>
      </c>
      <c r="O53" s="75">
        <f>IF(Tabelle14610[[#This Row],[Geschlossen
 zu]]&gt;0,$S$24*Tabelle14610[[#This Row],[Stk.]],0)</f>
        <v>2</v>
      </c>
      <c r="P53" s="35">
        <v>35</v>
      </c>
      <c r="Q53" s="41">
        <f>IF(Tabelle14610[[#This Row],[Geschlossen am]]&lt;&gt;"",Tabelle14610[[#This Row],[Prämie gesamt]]-P53*Tabelle14610[[#This Row],[Stk.]]-Tabelle14610[[#This Row],[Transaktionsgebühr 2]],"")</f>
        <v>66</v>
      </c>
      <c r="R53" s="43">
        <f>IF(Tabelle14610[[#This Row],[Geschlossen am]]&lt;&gt;"",Tabelle14610[[#This Row],[Geschlossen am]]-Tabelle14610[[#This Row],[Datum Eröffnung]],"")</f>
        <v>16</v>
      </c>
      <c r="S53" s="51">
        <f>IF(Tabelle14610[[#This Row],[Geschlossen am]]&lt;&gt;"",Q53/Tabelle14610[[#This Row],[Einsatz gesamt]]*365/R53,"")</f>
        <v>0.41857798165137616</v>
      </c>
      <c r="T53" s="64">
        <f>IF(Tabelle14610[[#This Row],[Geschlossen am]]&lt;&gt;"",0,1)</f>
        <v>0</v>
      </c>
      <c r="U53" s="64">
        <f>IF(Tabelle14610[[#This Row],[Geschlossen
 zu]]&gt;0,1,0)</f>
        <v>1</v>
      </c>
    </row>
    <row r="54" spans="2:21" s="29" customFormat="1" ht="22.5" x14ac:dyDescent="0.25">
      <c r="B54" s="56" t="s">
        <v>6</v>
      </c>
      <c r="C54" s="33" t="s">
        <v>73</v>
      </c>
      <c r="D54" s="34">
        <v>1</v>
      </c>
      <c r="E54" s="35">
        <v>55</v>
      </c>
      <c r="F54" s="34" t="s">
        <v>12</v>
      </c>
      <c r="G54" s="32">
        <v>44211</v>
      </c>
      <c r="H54" s="32">
        <v>44146</v>
      </c>
      <c r="I54" s="39">
        <f>Tabelle14610[[#This Row],[Verfallstag]]-H54</f>
        <v>65</v>
      </c>
      <c r="J54" s="35">
        <v>115</v>
      </c>
      <c r="K54" s="40">
        <f>Tabelle14610[[#This Row],[Prämie je Kontrakt]]*Tabelle14610[[#This Row],[Stk.]]-Tabelle14610[[#This Row],[Transaktionsgebühr]]</f>
        <v>113</v>
      </c>
      <c r="L54" s="75">
        <f>$S$24*Tabelle14610[[#This Row],[Stk.]]</f>
        <v>2</v>
      </c>
      <c r="M54" s="41">
        <f>(Tabelle14610[[#This Row],[Strike]]*100*Tabelle14610[[#This Row],[Stk.]]-K54)</f>
        <v>5387</v>
      </c>
      <c r="N54" s="32">
        <v>44159</v>
      </c>
      <c r="O54" s="75">
        <f>IF(Tabelle14610[[#This Row],[Geschlossen
 zu]]&gt;0,$S$24*Tabelle14610[[#This Row],[Stk.]],0)</f>
        <v>2</v>
      </c>
      <c r="P54" s="35">
        <v>32</v>
      </c>
      <c r="Q54" s="41">
        <f>IF(Tabelle14610[[#This Row],[Geschlossen am]]&lt;&gt;"",Tabelle14610[[#This Row],[Prämie gesamt]]-P54*Tabelle14610[[#This Row],[Stk.]]-Tabelle14610[[#This Row],[Transaktionsgebühr 2]],"")</f>
        <v>79</v>
      </c>
      <c r="R54" s="43">
        <f>IF(Tabelle14610[[#This Row],[Geschlossen am]]&lt;&gt;"",Tabelle14610[[#This Row],[Geschlossen am]]-Tabelle14610[[#This Row],[Datum Eröffnung]],"")</f>
        <v>13</v>
      </c>
      <c r="S54" s="51">
        <f>IF(Tabelle14610[[#This Row],[Geschlossen am]]&lt;&gt;"",Q54/Tabelle14610[[#This Row],[Einsatz gesamt]]*365/R54,"")</f>
        <v>0.41174622667104566</v>
      </c>
      <c r="T54" s="64">
        <f>IF(Tabelle14610[[#This Row],[Geschlossen am]]&lt;&gt;"",0,1)</f>
        <v>0</v>
      </c>
      <c r="U54" s="64">
        <f>IF(Tabelle14610[[#This Row],[Geschlossen
 zu]]&gt;0,1,0)</f>
        <v>1</v>
      </c>
    </row>
    <row r="55" spans="2:21" s="29" customFormat="1" x14ac:dyDescent="0.25">
      <c r="B55" s="56" t="s">
        <v>1</v>
      </c>
      <c r="C55" s="33" t="s">
        <v>95</v>
      </c>
      <c r="D55" s="34">
        <v>1</v>
      </c>
      <c r="E55" s="35">
        <v>37.5</v>
      </c>
      <c r="F55" s="34" t="s">
        <v>12</v>
      </c>
      <c r="G55" s="32">
        <v>44211</v>
      </c>
      <c r="H55" s="32">
        <v>44145</v>
      </c>
      <c r="I55" s="39">
        <f>Tabelle14610[[#This Row],[Verfallstag]]-H55</f>
        <v>66</v>
      </c>
      <c r="J55" s="35">
        <v>105</v>
      </c>
      <c r="K55" s="40">
        <f>Tabelle14610[[#This Row],[Prämie je Kontrakt]]*Tabelle14610[[#This Row],[Stk.]]-Tabelle14610[[#This Row],[Transaktionsgebühr]]</f>
        <v>103</v>
      </c>
      <c r="L55" s="75">
        <f>$S$24*Tabelle14610[[#This Row],[Stk.]]</f>
        <v>2</v>
      </c>
      <c r="M55" s="41">
        <f>(Tabelle14610[[#This Row],[Strike]]*100*Tabelle14610[[#This Row],[Stk.]]-K55)</f>
        <v>3647</v>
      </c>
      <c r="N55" s="32">
        <v>44169</v>
      </c>
      <c r="O55" s="75">
        <f>IF(Tabelle14610[[#This Row],[Geschlossen
 zu]]&gt;0,$S$24*Tabelle14610[[#This Row],[Stk.]],0)</f>
        <v>2</v>
      </c>
      <c r="P55" s="35">
        <v>29</v>
      </c>
      <c r="Q55" s="41">
        <f>IF(Tabelle14610[[#This Row],[Geschlossen am]]&lt;&gt;"",Tabelle14610[[#This Row],[Prämie gesamt]]-P55*Tabelle14610[[#This Row],[Stk.]]-Tabelle14610[[#This Row],[Transaktionsgebühr 2]],"")</f>
        <v>72</v>
      </c>
      <c r="R55" s="43">
        <f>IF(Tabelle14610[[#This Row],[Geschlossen am]]&lt;&gt;"",Tabelle14610[[#This Row],[Geschlossen am]]-Tabelle14610[[#This Row],[Datum Eröffnung]],"")</f>
        <v>24</v>
      </c>
      <c r="S55" s="51">
        <f>IF(Tabelle14610[[#This Row],[Geschlossen am]]&lt;&gt;"",Q55/Tabelle14610[[#This Row],[Einsatz gesamt]]*365/R55,"")</f>
        <v>0.30024677817384149</v>
      </c>
      <c r="T55" s="64">
        <f>IF(Tabelle14610[[#This Row],[Geschlossen am]]&lt;&gt;"",0,1)</f>
        <v>0</v>
      </c>
      <c r="U55" s="64">
        <f>IF(Tabelle14610[[#This Row],[Geschlossen
 zu]]&gt;0,1,0)</f>
        <v>1</v>
      </c>
    </row>
    <row r="56" spans="2:21" s="29" customFormat="1" ht="15.75" thickBot="1" x14ac:dyDescent="0.3">
      <c r="B56" s="57" t="s">
        <v>8</v>
      </c>
      <c r="C56" s="71" t="s">
        <v>74</v>
      </c>
      <c r="D56" s="44">
        <v>1</v>
      </c>
      <c r="E56" s="45">
        <v>60</v>
      </c>
      <c r="F56" s="44" t="s">
        <v>12</v>
      </c>
      <c r="G56" s="46">
        <v>44211</v>
      </c>
      <c r="H56" s="46">
        <v>44144</v>
      </c>
      <c r="I56" s="52">
        <f>Tabelle14610[[#This Row],[Verfallstag]]-H56</f>
        <v>67</v>
      </c>
      <c r="J56" s="45">
        <v>110</v>
      </c>
      <c r="K56" s="47">
        <f>Tabelle14610[[#This Row],[Prämie je Kontrakt]]*Tabelle14610[[#This Row],[Stk.]]-Tabelle14610[[#This Row],[Transaktionsgebühr]]</f>
        <v>108</v>
      </c>
      <c r="L56" s="76">
        <f>$S$24*Tabelle14610[[#This Row],[Stk.]]</f>
        <v>2</v>
      </c>
      <c r="M56" s="48">
        <f>(Tabelle14610[[#This Row],[Strike]]*100*Tabelle14610[[#This Row],[Stk.]]-K56)</f>
        <v>5892</v>
      </c>
      <c r="N56" s="46">
        <v>44180</v>
      </c>
      <c r="O56" s="76">
        <f>IF(Tabelle14610[[#This Row],[Geschlossen
 zu]]&gt;0,$S$24*Tabelle14610[[#This Row],[Stk.]],0)</f>
        <v>2</v>
      </c>
      <c r="P56" s="45">
        <v>32</v>
      </c>
      <c r="Q56" s="48">
        <f>IF(Tabelle14610[[#This Row],[Geschlossen am]]&lt;&gt;"",Tabelle14610[[#This Row],[Prämie gesamt]]-P56*Tabelle14610[[#This Row],[Stk.]]-Tabelle14610[[#This Row],[Transaktionsgebühr 2]],"")</f>
        <v>74</v>
      </c>
      <c r="R56" s="49">
        <f>IF(Tabelle14610[[#This Row],[Geschlossen am]]&lt;&gt;"",Tabelle14610[[#This Row],[Geschlossen am]]-Tabelle14610[[#This Row],[Datum Eröffnung]],"")</f>
        <v>36</v>
      </c>
      <c r="S56" s="53">
        <f>IF(Tabelle14610[[#This Row],[Geschlossen am]]&lt;&gt;"",Q56/Tabelle14610[[#This Row],[Einsatz gesamt]]*365/R56,"")</f>
        <v>0.12733838726710417</v>
      </c>
      <c r="T56" s="64">
        <f>IF(Tabelle14610[[#This Row],[Geschlossen am]]&lt;&gt;"",0,1)</f>
        <v>0</v>
      </c>
      <c r="U56" s="64">
        <f>IF(Tabelle14610[[#This Row],[Geschlossen
 zu]]&gt;0,1,0)</f>
        <v>1</v>
      </c>
    </row>
    <row r="57" spans="2:21" x14ac:dyDescent="0.25">
      <c r="B57" s="12"/>
      <c r="C57" s="12"/>
      <c r="D57" s="12"/>
      <c r="E57" s="12"/>
      <c r="F57" s="12"/>
      <c r="G57" s="12"/>
      <c r="H57" s="12"/>
      <c r="I57" s="12"/>
      <c r="J57" s="12"/>
      <c r="K57" s="12"/>
      <c r="L57" s="12"/>
      <c r="M57" s="12"/>
      <c r="N57" s="13"/>
      <c r="O57" s="13"/>
      <c r="P57" s="13"/>
      <c r="Q57" s="14"/>
      <c r="R57" s="14"/>
      <c r="S57" s="14"/>
    </row>
    <row r="58" spans="2:21" ht="15.75" thickBot="1" x14ac:dyDescent="0.3">
      <c r="B58" s="12"/>
      <c r="C58" s="12"/>
      <c r="D58" s="12"/>
      <c r="E58" s="12"/>
      <c r="F58" s="12"/>
      <c r="G58" s="12"/>
      <c r="H58" s="12"/>
      <c r="I58" s="12"/>
      <c r="J58" s="12"/>
      <c r="K58" s="12"/>
      <c r="L58" s="12"/>
      <c r="M58" s="12"/>
      <c r="N58" s="13"/>
      <c r="O58" s="13"/>
      <c r="P58" s="13"/>
      <c r="Q58" s="14"/>
      <c r="R58" s="14"/>
      <c r="S58" s="14"/>
    </row>
    <row r="59" spans="2:21" ht="16.5" thickBot="1" x14ac:dyDescent="0.3">
      <c r="B59" s="12"/>
      <c r="C59" s="12"/>
      <c r="D59" s="12"/>
      <c r="E59" s="12"/>
      <c r="F59" s="12"/>
      <c r="G59" s="12"/>
      <c r="H59" s="12"/>
      <c r="I59" s="94" t="s">
        <v>22</v>
      </c>
      <c r="J59" s="95"/>
      <c r="K59" s="22">
        <f>SUMPRODUCT(Tabelle14610[Prämie gesamt],Tabelle14610[Spalte1])</f>
        <v>81</v>
      </c>
      <c r="L59" s="22"/>
      <c r="M59" s="18">
        <f>SUMPRODUCT(Tabelle14610[Einsatz gesamt],Tabelle14610[Spalte1])</f>
        <v>4919</v>
      </c>
      <c r="N59" s="12"/>
      <c r="O59" s="12"/>
      <c r="P59" s="15" t="s">
        <v>19</v>
      </c>
      <c r="Q59" s="23">
        <f>SUM(Tabelle14610[Gewinn gesamt])</f>
        <v>2008</v>
      </c>
      <c r="R59" s="23"/>
      <c r="S59" s="24"/>
    </row>
    <row r="60" spans="2:21" ht="16.5" thickBot="1" x14ac:dyDescent="0.3">
      <c r="B60" s="12"/>
      <c r="C60" s="12"/>
      <c r="D60" s="12"/>
      <c r="E60" s="12"/>
      <c r="F60" s="12"/>
      <c r="G60" s="12"/>
      <c r="H60" s="12"/>
      <c r="I60" s="12"/>
      <c r="J60" s="12"/>
      <c r="K60" s="12"/>
      <c r="L60" s="12"/>
      <c r="M60" s="12"/>
      <c r="N60" s="12"/>
      <c r="O60" s="12"/>
      <c r="P60" s="16" t="s">
        <v>20</v>
      </c>
      <c r="Q60" s="25">
        <f>AVERAGE(Tabelle14610[Gewinn gesamt])</f>
        <v>100.4</v>
      </c>
      <c r="R60" s="26">
        <f>AVERAGE(Tabelle14610[Finale Laufzeit])</f>
        <v>37.950000000000003</v>
      </c>
      <c r="S60" s="27">
        <f>AVERAGE(Tabelle14610[Jährliche Rendite])</f>
        <v>0.25199530963676264</v>
      </c>
    </row>
    <row r="61" spans="2:21" ht="15.75" x14ac:dyDescent="0.25">
      <c r="I61" s="89" t="str">
        <f>IF(B27&lt;&gt;0,"NOTWENDIGES ZUSÄTZLICHES KAPITAL","")</f>
        <v/>
      </c>
      <c r="J61" s="89"/>
      <c r="K61" s="89"/>
      <c r="L61" s="62"/>
      <c r="M61" s="59">
        <f>IF(B27&lt;&gt;0,M59/S28-S15,0)</f>
        <v>0</v>
      </c>
    </row>
  </sheetData>
  <sheetProtection insertRows="0" deleteRows="0" sort="0"/>
  <mergeCells count="27">
    <mergeCell ref="P19:R19"/>
    <mergeCell ref="P20:R20"/>
    <mergeCell ref="P15:R15"/>
    <mergeCell ref="P16:R16"/>
    <mergeCell ref="P2:S2"/>
    <mergeCell ref="P4:R4"/>
    <mergeCell ref="P5:R5"/>
    <mergeCell ref="P9:R9"/>
    <mergeCell ref="P10:R10"/>
    <mergeCell ref="P11:R11"/>
    <mergeCell ref="P6:R6"/>
    <mergeCell ref="P7:R7"/>
    <mergeCell ref="P13:R13"/>
    <mergeCell ref="P14:R14"/>
    <mergeCell ref="P18:R18"/>
    <mergeCell ref="I61:K61"/>
    <mergeCell ref="P26:R26"/>
    <mergeCell ref="P22:S22"/>
    <mergeCell ref="P24:R24"/>
    <mergeCell ref="P25:R25"/>
    <mergeCell ref="I59:J59"/>
    <mergeCell ref="B26:M26"/>
    <mergeCell ref="B33:G34"/>
    <mergeCell ref="H33:M34"/>
    <mergeCell ref="N33:S34"/>
    <mergeCell ref="B30:M31"/>
    <mergeCell ref="B27:M28"/>
  </mergeCells>
  <phoneticPr fontId="3" type="noConversion"/>
  <conditionalFormatting sqref="B27">
    <cfRule type="beginsWith" dxfId="2" priority="3" operator="beginsWith" text="ACHTUNG">
      <formula>LEFT(B27,LEN("ACHTUNG"))="ACHTUNG"</formula>
    </cfRule>
  </conditionalFormatting>
  <conditionalFormatting sqref="I61:L61">
    <cfRule type="beginsWith" dxfId="1" priority="2" operator="beginsWith" text="NOT">
      <formula>LEFT(I61,LEN("NOT"))="NOT"</formula>
    </cfRule>
  </conditionalFormatting>
  <conditionalFormatting sqref="M61">
    <cfRule type="cellIs" dxfId="0" priority="1" operator="greaterThan">
      <formula>0</formula>
    </cfRule>
  </conditionalFormatting>
  <hyperlinks>
    <hyperlink ref="B26:M26" r:id="rId1" display="Ein Dienst von freaky finance. Zur STILLHALTER-Brief Produktseite" xr:uid="{00000000-0004-0000-0000-000000000000}"/>
  </hyperlinks>
  <pageMargins left="0.7" right="0.7" top="0.78740157499999996" bottom="0.78740157499999996" header="0.3" footer="0.3"/>
  <pageSetup paperSize="9" orientation="portrait" r:id="rId2"/>
  <ignoredErrors>
    <ignoredError sqref="R47:S47 J49 I46:J47 L36:L56 O36:O56" unlockedFormula="1"/>
    <ignoredError sqref="S10" evalError="1"/>
  </ignoredErrors>
  <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A2CDD-2BD5-4F98-BCBD-E74565FC44F5}">
  <dimension ref="B1:Y17"/>
  <sheetViews>
    <sheetView showGridLines="0" tabSelected="1" workbookViewId="0">
      <selection activeCell="O24" sqref="O24"/>
    </sheetView>
  </sheetViews>
  <sheetFormatPr baseColWidth="10" defaultRowHeight="15" x14ac:dyDescent="0.25"/>
  <cols>
    <col min="1" max="1" width="0.85546875" style="133" customWidth="1"/>
    <col min="2" max="2" width="3.7109375" style="133" bestFit="1" customWidth="1"/>
    <col min="3" max="3" width="6.28515625" style="133" bestFit="1" customWidth="1"/>
    <col min="4" max="4" width="6.28515625" style="133" customWidth="1"/>
    <col min="5" max="5" width="11.42578125" style="133"/>
    <col min="6" max="6" width="12.85546875" style="133" bestFit="1" customWidth="1"/>
    <col min="7" max="7" width="13.28515625" style="133" bestFit="1" customWidth="1"/>
    <col min="8" max="8" width="11.28515625" style="133" bestFit="1" customWidth="1"/>
    <col min="9" max="9" width="15.5703125" style="133" customWidth="1"/>
    <col min="10" max="10" width="12.42578125" style="133" bestFit="1" customWidth="1"/>
    <col min="11" max="11" width="11.42578125" style="133"/>
    <col min="12" max="12" width="7.7109375" style="133" customWidth="1"/>
    <col min="13" max="16384" width="11.42578125" style="133"/>
  </cols>
  <sheetData>
    <row r="1" spans="2:25" ht="15.75" thickBot="1" x14ac:dyDescent="0.3"/>
    <row r="2" spans="2:25" ht="16.5" customHeight="1" thickBot="1" x14ac:dyDescent="0.3">
      <c r="F2" s="130" t="s">
        <v>159</v>
      </c>
      <c r="G2" s="131"/>
      <c r="H2" s="132"/>
      <c r="I2" s="146">
        <f>SUM(I10:I222)</f>
        <v>-2758</v>
      </c>
      <c r="J2" s="147">
        <f>I2/'Trading-Logbuch'!S28</f>
        <v>-2628.068303094984</v>
      </c>
      <c r="S2" s="151" t="s">
        <v>162</v>
      </c>
      <c r="T2" s="151"/>
      <c r="U2" s="151"/>
      <c r="V2" s="151"/>
      <c r="W2" s="151"/>
      <c r="X2" s="151"/>
      <c r="Y2" s="151"/>
    </row>
    <row r="3" spans="2:25" ht="16.5" thickBot="1" x14ac:dyDescent="0.3">
      <c r="F3" s="130" t="s">
        <v>158</v>
      </c>
      <c r="G3" s="131"/>
      <c r="H3" s="132"/>
      <c r="I3" s="146">
        <f>SUM(J10:J222)</f>
        <v>932</v>
      </c>
      <c r="J3" s="147">
        <f>I3/'Trading-Logbuch'!S28</f>
        <v>888.09269705747829</v>
      </c>
      <c r="S3" s="151"/>
      <c r="T3" s="151"/>
      <c r="U3" s="151"/>
      <c r="V3" s="151"/>
      <c r="W3" s="151"/>
      <c r="X3" s="151"/>
      <c r="Y3" s="151"/>
    </row>
    <row r="4" spans="2:25" x14ac:dyDescent="0.25">
      <c r="S4" s="151"/>
      <c r="T4" s="151"/>
      <c r="U4" s="151"/>
      <c r="V4" s="151"/>
      <c r="W4" s="151"/>
      <c r="X4" s="151"/>
      <c r="Y4" s="151"/>
    </row>
    <row r="5" spans="2:25" x14ac:dyDescent="0.25">
      <c r="S5" s="151"/>
      <c r="T5" s="151"/>
      <c r="U5" s="151"/>
      <c r="V5" s="151"/>
      <c r="W5" s="151"/>
      <c r="X5" s="151"/>
      <c r="Y5" s="151"/>
    </row>
    <row r="6" spans="2:25" ht="4.5" customHeight="1" x14ac:dyDescent="0.25">
      <c r="S6" s="151"/>
      <c r="T6" s="151"/>
      <c r="U6" s="151"/>
      <c r="V6" s="151"/>
      <c r="W6" s="151"/>
      <c r="X6" s="151"/>
      <c r="Y6" s="151"/>
    </row>
    <row r="7" spans="2:25" ht="4.5" customHeight="1" thickBot="1" x14ac:dyDescent="0.3">
      <c r="S7" s="151"/>
      <c r="T7" s="151"/>
      <c r="U7" s="151"/>
      <c r="V7" s="151"/>
      <c r="W7" s="151"/>
      <c r="X7" s="151"/>
      <c r="Y7" s="151"/>
    </row>
    <row r="8" spans="2:25" ht="16.5" thickBot="1" x14ac:dyDescent="0.3">
      <c r="B8" s="94" t="s">
        <v>155</v>
      </c>
      <c r="C8" s="95"/>
      <c r="D8" s="95"/>
      <c r="E8" s="95"/>
      <c r="F8" s="95"/>
      <c r="G8" s="95"/>
      <c r="H8" s="95"/>
      <c r="I8" s="95"/>
      <c r="J8" s="129"/>
      <c r="K8" s="94" t="s">
        <v>154</v>
      </c>
      <c r="L8" s="95"/>
      <c r="M8" s="95"/>
      <c r="N8" s="95"/>
      <c r="O8" s="95"/>
      <c r="P8" s="129"/>
      <c r="S8" s="151"/>
      <c r="T8" s="151"/>
      <c r="U8" s="151"/>
      <c r="V8" s="151"/>
      <c r="W8" s="151"/>
      <c r="X8" s="151"/>
      <c r="Y8" s="151"/>
    </row>
    <row r="9" spans="2:25" ht="45" x14ac:dyDescent="0.25">
      <c r="B9" s="128" t="s">
        <v>153</v>
      </c>
      <c r="C9" s="127" t="s">
        <v>3</v>
      </c>
      <c r="D9" s="127" t="s">
        <v>152</v>
      </c>
      <c r="E9" s="124" t="s">
        <v>151</v>
      </c>
      <c r="F9" s="124" t="s">
        <v>150</v>
      </c>
      <c r="G9" s="126" t="s">
        <v>149</v>
      </c>
      <c r="H9" s="126" t="s">
        <v>148</v>
      </c>
      <c r="I9" s="126" t="s">
        <v>160</v>
      </c>
      <c r="J9" s="126" t="s">
        <v>156</v>
      </c>
      <c r="K9" s="125" t="s">
        <v>147</v>
      </c>
      <c r="L9" s="124" t="s">
        <v>0</v>
      </c>
      <c r="M9" s="124" t="s">
        <v>146</v>
      </c>
      <c r="N9" s="124" t="s">
        <v>145</v>
      </c>
      <c r="O9" s="124" t="s">
        <v>144</v>
      </c>
      <c r="P9" s="124" t="s">
        <v>143</v>
      </c>
      <c r="R9" s="134"/>
      <c r="S9" s="151"/>
      <c r="T9" s="151"/>
      <c r="U9" s="151"/>
      <c r="V9" s="151"/>
      <c r="W9" s="151"/>
      <c r="X9" s="151"/>
      <c r="Y9" s="151"/>
    </row>
    <row r="10" spans="2:25" ht="15.75" thickBot="1" x14ac:dyDescent="0.3">
      <c r="B10" s="149">
        <v>1</v>
      </c>
      <c r="C10" s="135" t="s">
        <v>142</v>
      </c>
      <c r="D10" s="135">
        <v>200</v>
      </c>
      <c r="E10" s="136">
        <v>4.66</v>
      </c>
      <c r="F10" s="137">
        <v>18.45</v>
      </c>
      <c r="G10" s="138">
        <v>44531</v>
      </c>
      <c r="H10" s="139">
        <v>44887</v>
      </c>
      <c r="I10" s="145">
        <f>D10*(E10-F10)</f>
        <v>-2758</v>
      </c>
      <c r="J10" s="148">
        <f>D10*E10</f>
        <v>932</v>
      </c>
      <c r="K10" s="135"/>
      <c r="L10" s="140"/>
      <c r="M10" s="141"/>
      <c r="N10" s="141"/>
      <c r="O10" s="142"/>
      <c r="P10" s="143">
        <f>K10*O10</f>
        <v>0</v>
      </c>
      <c r="R10" s="144"/>
      <c r="S10" s="151"/>
      <c r="T10" s="151"/>
      <c r="U10" s="151"/>
      <c r="V10" s="151"/>
      <c r="W10" s="151"/>
      <c r="X10" s="151"/>
      <c r="Y10" s="151"/>
    </row>
    <row r="11" spans="2:25" x14ac:dyDescent="0.25">
      <c r="S11" s="151"/>
      <c r="T11" s="151"/>
      <c r="U11" s="151"/>
      <c r="V11" s="151"/>
      <c r="W11" s="151"/>
      <c r="X11" s="151"/>
      <c r="Y11" s="151"/>
    </row>
    <row r="12" spans="2:25" x14ac:dyDescent="0.25">
      <c r="S12" s="151"/>
      <c r="T12" s="151"/>
      <c r="U12" s="151"/>
      <c r="V12" s="151"/>
      <c r="W12" s="151"/>
      <c r="X12" s="151"/>
      <c r="Y12" s="151"/>
    </row>
    <row r="13" spans="2:25" x14ac:dyDescent="0.25">
      <c r="S13" s="151"/>
      <c r="T13" s="151"/>
      <c r="U13" s="151"/>
      <c r="V13" s="151"/>
      <c r="W13" s="151"/>
      <c r="X13" s="151"/>
      <c r="Y13" s="151"/>
    </row>
    <row r="14" spans="2:25" x14ac:dyDescent="0.25">
      <c r="S14" s="151"/>
      <c r="T14" s="151"/>
      <c r="U14" s="151"/>
      <c r="V14" s="151"/>
      <c r="W14" s="151"/>
      <c r="X14" s="151"/>
      <c r="Y14" s="151"/>
    </row>
    <row r="15" spans="2:25" x14ac:dyDescent="0.25">
      <c r="S15" s="151"/>
      <c r="T15" s="151"/>
      <c r="U15" s="151"/>
      <c r="V15" s="151"/>
      <c r="W15" s="151"/>
      <c r="X15" s="151"/>
      <c r="Y15" s="151"/>
    </row>
    <row r="16" spans="2:25" x14ac:dyDescent="0.25">
      <c r="S16" s="151"/>
      <c r="T16" s="151"/>
      <c r="U16" s="151"/>
      <c r="V16" s="151"/>
      <c r="W16" s="151"/>
      <c r="X16" s="151"/>
      <c r="Y16" s="151"/>
    </row>
    <row r="17" spans="19:25" x14ac:dyDescent="0.25">
      <c r="S17" s="151"/>
      <c r="T17" s="151"/>
      <c r="U17" s="151"/>
      <c r="V17" s="151"/>
      <c r="W17" s="151"/>
      <c r="X17" s="151"/>
      <c r="Y17" s="151"/>
    </row>
  </sheetData>
  <mergeCells count="5">
    <mergeCell ref="K8:P8"/>
    <mergeCell ref="B8:J8"/>
    <mergeCell ref="F2:H2"/>
    <mergeCell ref="F3:H3"/>
    <mergeCell ref="S2:Y17"/>
  </mergeCells>
  <pageMargins left="0.7" right="0.7" top="0.78740157499999996" bottom="0.78740157499999996"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S136"/>
  <sheetViews>
    <sheetView topLeftCell="A115" workbookViewId="0">
      <selection activeCell="B129" sqref="B129:P136"/>
    </sheetView>
  </sheetViews>
  <sheetFormatPr baseColWidth="10" defaultRowHeight="15" x14ac:dyDescent="0.25"/>
  <cols>
    <col min="1" max="1" width="4.28515625" customWidth="1"/>
    <col min="2" max="2" width="29.140625" customWidth="1"/>
  </cols>
  <sheetData>
    <row r="1" spans="2:3" x14ac:dyDescent="0.25">
      <c r="B1" s="120" t="s">
        <v>136</v>
      </c>
      <c r="C1" s="120"/>
    </row>
    <row r="2" spans="2:3" x14ac:dyDescent="0.25">
      <c r="B2" s="120"/>
      <c r="C2" s="120"/>
    </row>
    <row r="5" spans="2:3" x14ac:dyDescent="0.25">
      <c r="B5" s="8" t="s">
        <v>109</v>
      </c>
    </row>
    <row r="7" spans="2:3" x14ac:dyDescent="0.25">
      <c r="B7" t="s">
        <v>111</v>
      </c>
    </row>
    <row r="15" spans="2:3" x14ac:dyDescent="0.25">
      <c r="B15" t="s">
        <v>112</v>
      </c>
    </row>
    <row r="28" spans="2:2" x14ac:dyDescent="0.25">
      <c r="B28" t="s">
        <v>110</v>
      </c>
    </row>
    <row r="39" spans="2:15" ht="18.75" x14ac:dyDescent="0.3">
      <c r="B39" s="9" t="s">
        <v>23</v>
      </c>
    </row>
    <row r="41" spans="2:15" x14ac:dyDescent="0.25">
      <c r="B41" s="7"/>
      <c r="D41" t="s">
        <v>58</v>
      </c>
    </row>
    <row r="43" spans="2:15" ht="18.75" x14ac:dyDescent="0.3">
      <c r="B43" s="121" t="s">
        <v>79</v>
      </c>
      <c r="C43" s="121"/>
      <c r="D43" s="121"/>
      <c r="E43" s="121"/>
      <c r="F43" s="121"/>
      <c r="G43" s="121"/>
      <c r="H43" s="121"/>
      <c r="I43" s="121"/>
    </row>
    <row r="45" spans="2:15" x14ac:dyDescent="0.25">
      <c r="B45" t="s">
        <v>113</v>
      </c>
    </row>
    <row r="46" spans="2:15" x14ac:dyDescent="0.25">
      <c r="B46" t="s">
        <v>80</v>
      </c>
    </row>
    <row r="47" spans="2:15" ht="62.45" customHeight="1" x14ac:dyDescent="0.25">
      <c r="B47" s="87" t="s">
        <v>60</v>
      </c>
      <c r="D47" s="123" t="s">
        <v>133</v>
      </c>
      <c r="E47" s="123"/>
      <c r="F47" s="123"/>
      <c r="G47" s="123"/>
      <c r="H47" s="123"/>
      <c r="I47" s="123"/>
      <c r="J47" s="123"/>
      <c r="K47" s="123"/>
      <c r="L47" s="123"/>
      <c r="M47" s="123"/>
      <c r="N47" s="123"/>
      <c r="O47" s="123"/>
    </row>
    <row r="48" spans="2:15" ht="14.45" customHeight="1" x14ac:dyDescent="0.25">
      <c r="B48" s="8" t="s">
        <v>81</v>
      </c>
      <c r="D48" t="s">
        <v>84</v>
      </c>
    </row>
    <row r="49" spans="2:19" ht="14.45" customHeight="1" x14ac:dyDescent="0.25">
      <c r="B49" s="8" t="s">
        <v>82</v>
      </c>
      <c r="D49" s="29" t="s">
        <v>83</v>
      </c>
    </row>
    <row r="51" spans="2:19" ht="18.75" x14ac:dyDescent="0.3">
      <c r="B51" s="121" t="s">
        <v>85</v>
      </c>
      <c r="C51" s="121"/>
      <c r="D51" s="121"/>
      <c r="E51" s="121"/>
      <c r="F51" s="121"/>
      <c r="G51" s="121"/>
      <c r="H51" s="121"/>
      <c r="I51" s="121"/>
    </row>
    <row r="53" spans="2:19" ht="15" customHeight="1" x14ac:dyDescent="0.25">
      <c r="B53" s="122" t="s">
        <v>114</v>
      </c>
      <c r="C53" s="122"/>
      <c r="D53" s="122"/>
      <c r="E53" s="122"/>
      <c r="F53" s="122"/>
      <c r="G53" s="122"/>
      <c r="H53" s="122"/>
      <c r="I53" s="122"/>
      <c r="J53" s="122"/>
      <c r="K53" s="122"/>
      <c r="L53" s="122"/>
      <c r="M53" s="122"/>
      <c r="N53" s="122"/>
      <c r="O53" s="122"/>
      <c r="P53" s="122"/>
      <c r="Q53" s="122"/>
      <c r="R53" s="122"/>
      <c r="S53" s="122"/>
    </row>
    <row r="54" spans="2:19" x14ac:dyDescent="0.25">
      <c r="B54" s="122"/>
      <c r="C54" s="122"/>
      <c r="D54" s="122"/>
      <c r="E54" s="122"/>
      <c r="F54" s="122"/>
      <c r="G54" s="122"/>
      <c r="H54" s="122"/>
      <c r="I54" s="122"/>
      <c r="J54" s="122"/>
      <c r="K54" s="122"/>
      <c r="L54" s="122"/>
      <c r="M54" s="122"/>
      <c r="N54" s="122"/>
      <c r="O54" s="122"/>
      <c r="P54" s="122"/>
      <c r="Q54" s="122"/>
      <c r="R54" s="122"/>
      <c r="S54" s="122"/>
    </row>
    <row r="55" spans="2:19" x14ac:dyDescent="0.25">
      <c r="B55" s="122"/>
      <c r="C55" s="122"/>
      <c r="D55" s="122"/>
      <c r="E55" s="122"/>
      <c r="F55" s="122"/>
      <c r="G55" s="122"/>
      <c r="H55" s="122"/>
      <c r="I55" s="122"/>
      <c r="J55" s="122"/>
      <c r="K55" s="122"/>
      <c r="L55" s="122"/>
      <c r="M55" s="122"/>
      <c r="N55" s="122"/>
      <c r="O55" s="122"/>
      <c r="P55" s="122"/>
      <c r="Q55" s="122"/>
      <c r="R55" s="122"/>
      <c r="S55" s="122"/>
    </row>
    <row r="56" spans="2:19" x14ac:dyDescent="0.25">
      <c r="B56" s="122"/>
      <c r="C56" s="122"/>
      <c r="D56" s="122"/>
      <c r="E56" s="122"/>
      <c r="F56" s="122"/>
      <c r="G56" s="122"/>
      <c r="H56" s="122"/>
      <c r="I56" s="122"/>
      <c r="J56" s="122"/>
      <c r="K56" s="122"/>
      <c r="L56" s="122"/>
      <c r="M56" s="122"/>
      <c r="N56" s="122"/>
      <c r="O56" s="122"/>
      <c r="P56" s="122"/>
      <c r="Q56" s="122"/>
      <c r="R56" s="122"/>
      <c r="S56" s="122"/>
    </row>
    <row r="57" spans="2:19" x14ac:dyDescent="0.25">
      <c r="B57" s="77"/>
      <c r="C57" s="77"/>
      <c r="D57" s="77"/>
      <c r="E57" s="77"/>
      <c r="F57" s="77"/>
      <c r="G57" s="77"/>
      <c r="H57" s="77"/>
      <c r="I57" s="77"/>
      <c r="J57" s="77"/>
      <c r="K57" s="77"/>
      <c r="L57" s="77"/>
      <c r="M57" s="77"/>
      <c r="N57" s="77"/>
      <c r="O57" s="77"/>
      <c r="P57" s="77"/>
      <c r="Q57" s="77"/>
      <c r="R57" s="77"/>
      <c r="S57" s="77"/>
    </row>
    <row r="58" spans="2:19" ht="18.75" x14ac:dyDescent="0.3">
      <c r="B58" s="121" t="s">
        <v>86</v>
      </c>
      <c r="C58" s="121"/>
      <c r="D58" s="121"/>
      <c r="E58" s="121"/>
      <c r="F58" s="121"/>
      <c r="G58" s="121"/>
      <c r="H58" s="121"/>
      <c r="I58" s="121"/>
      <c r="J58" s="77"/>
      <c r="K58" s="77"/>
      <c r="L58" s="77"/>
      <c r="M58" s="77"/>
      <c r="N58" s="77"/>
      <c r="O58" s="77"/>
      <c r="P58" s="77"/>
      <c r="Q58" s="77"/>
      <c r="R58" s="77"/>
      <c r="S58" s="77"/>
    </row>
    <row r="60" spans="2:19" x14ac:dyDescent="0.25">
      <c r="B60" t="s">
        <v>139</v>
      </c>
    </row>
    <row r="61" spans="2:19" x14ac:dyDescent="0.25">
      <c r="B61" t="s">
        <v>140</v>
      </c>
    </row>
    <row r="62" spans="2:19" ht="14.45" customHeight="1" x14ac:dyDescent="0.25">
      <c r="B62" s="123" t="s">
        <v>115</v>
      </c>
      <c r="C62" s="123"/>
      <c r="D62" s="123"/>
      <c r="E62" s="123"/>
      <c r="F62" s="123"/>
      <c r="G62" s="123"/>
      <c r="H62" s="123"/>
      <c r="I62" s="123"/>
      <c r="J62" s="123"/>
      <c r="K62" s="123"/>
      <c r="L62" s="123"/>
      <c r="M62" s="123"/>
      <c r="N62" s="123"/>
      <c r="O62" s="123"/>
      <c r="P62" s="78"/>
      <c r="Q62" s="78"/>
      <c r="R62" s="78"/>
    </row>
    <row r="63" spans="2:19" x14ac:dyDescent="0.25">
      <c r="B63" s="123"/>
      <c r="C63" s="123"/>
      <c r="D63" s="123"/>
      <c r="E63" s="123"/>
      <c r="F63" s="123"/>
      <c r="G63" s="123"/>
      <c r="H63" s="123"/>
      <c r="I63" s="123"/>
      <c r="J63" s="123"/>
      <c r="K63" s="123"/>
      <c r="L63" s="123"/>
      <c r="M63" s="123"/>
      <c r="N63" s="123"/>
      <c r="O63" s="123"/>
      <c r="P63" s="78"/>
      <c r="Q63" s="78"/>
      <c r="R63" s="78"/>
    </row>
    <row r="64" spans="2:19" x14ac:dyDescent="0.25">
      <c r="B64" t="s">
        <v>100</v>
      </c>
    </row>
    <row r="83" spans="2:9" hidden="1" x14ac:dyDescent="0.25"/>
    <row r="84" spans="2:9" hidden="1" x14ac:dyDescent="0.25"/>
    <row r="85" spans="2:9" hidden="1" x14ac:dyDescent="0.25"/>
    <row r="86" spans="2:9" hidden="1" x14ac:dyDescent="0.25"/>
    <row r="88" spans="2:9" ht="18.75" x14ac:dyDescent="0.3">
      <c r="B88" s="121" t="s">
        <v>87</v>
      </c>
      <c r="C88" s="121"/>
      <c r="D88" s="121"/>
      <c r="E88" s="121"/>
      <c r="F88" s="121"/>
      <c r="G88" s="121"/>
      <c r="H88" s="121"/>
      <c r="I88" s="121"/>
    </row>
    <row r="90" spans="2:9" x14ac:dyDescent="0.25">
      <c r="B90" s="8" t="s">
        <v>3</v>
      </c>
      <c r="D90" t="s">
        <v>24</v>
      </c>
    </row>
    <row r="91" spans="2:9" x14ac:dyDescent="0.25">
      <c r="B91" s="8" t="s">
        <v>64</v>
      </c>
      <c r="D91" t="s">
        <v>88</v>
      </c>
    </row>
    <row r="92" spans="2:9" x14ac:dyDescent="0.25">
      <c r="B92" s="8" t="s">
        <v>9</v>
      </c>
      <c r="D92" t="s">
        <v>25</v>
      </c>
    </row>
    <row r="93" spans="2:9" x14ac:dyDescent="0.25">
      <c r="B93" s="8" t="s">
        <v>0</v>
      </c>
      <c r="D93" t="s">
        <v>26</v>
      </c>
    </row>
    <row r="94" spans="2:9" x14ac:dyDescent="0.25">
      <c r="B94" s="8" t="s">
        <v>11</v>
      </c>
      <c r="D94" t="s">
        <v>27</v>
      </c>
    </row>
    <row r="95" spans="2:9" x14ac:dyDescent="0.25">
      <c r="B95" s="8" t="s">
        <v>2</v>
      </c>
      <c r="D95" t="s">
        <v>28</v>
      </c>
    </row>
    <row r="96" spans="2:9" x14ac:dyDescent="0.25">
      <c r="B96" s="8" t="s">
        <v>40</v>
      </c>
      <c r="D96" t="s">
        <v>101</v>
      </c>
    </row>
    <row r="97" spans="2:4" x14ac:dyDescent="0.25">
      <c r="B97" s="8" t="s">
        <v>43</v>
      </c>
      <c r="D97" t="s">
        <v>44</v>
      </c>
    </row>
    <row r="98" spans="2:4" x14ac:dyDescent="0.25">
      <c r="B98" s="8" t="s">
        <v>15</v>
      </c>
      <c r="D98" t="s">
        <v>116</v>
      </c>
    </row>
    <row r="99" spans="2:4" x14ac:dyDescent="0.25">
      <c r="B99" s="8" t="s">
        <v>16</v>
      </c>
      <c r="D99" t="s">
        <v>108</v>
      </c>
    </row>
    <row r="100" spans="2:4" x14ac:dyDescent="0.25">
      <c r="B100" s="8" t="s">
        <v>90</v>
      </c>
      <c r="D100" t="s">
        <v>102</v>
      </c>
    </row>
    <row r="101" spans="2:4" x14ac:dyDescent="0.25">
      <c r="B101" s="8" t="s">
        <v>21</v>
      </c>
      <c r="D101" t="s">
        <v>45</v>
      </c>
    </row>
    <row r="102" spans="2:4" x14ac:dyDescent="0.25">
      <c r="B102" s="8" t="s">
        <v>62</v>
      </c>
      <c r="D102" t="s">
        <v>103</v>
      </c>
    </row>
    <row r="103" spans="2:4" x14ac:dyDescent="0.25">
      <c r="B103" s="8" t="s">
        <v>91</v>
      </c>
      <c r="D103" t="s">
        <v>117</v>
      </c>
    </row>
    <row r="104" spans="2:4" x14ac:dyDescent="0.25">
      <c r="B104" s="8" t="s">
        <v>99</v>
      </c>
      <c r="D104" t="s">
        <v>130</v>
      </c>
    </row>
    <row r="105" spans="2:4" x14ac:dyDescent="0.25">
      <c r="B105" s="8" t="s">
        <v>29</v>
      </c>
      <c r="D105" t="s">
        <v>30</v>
      </c>
    </row>
    <row r="106" spans="2:4" x14ac:dyDescent="0.25">
      <c r="B106" s="8" t="s">
        <v>18</v>
      </c>
      <c r="D106" t="s">
        <v>31</v>
      </c>
    </row>
    <row r="107" spans="2:4" x14ac:dyDescent="0.25">
      <c r="B107" s="8" t="s">
        <v>10</v>
      </c>
      <c r="D107" t="s">
        <v>32</v>
      </c>
    </row>
    <row r="109" spans="2:4" x14ac:dyDescent="0.25">
      <c r="B109" s="8" t="s">
        <v>33</v>
      </c>
      <c r="D109" t="s">
        <v>104</v>
      </c>
    </row>
    <row r="110" spans="2:4" x14ac:dyDescent="0.25">
      <c r="B110" s="8" t="s">
        <v>34</v>
      </c>
      <c r="D110" t="s">
        <v>118</v>
      </c>
    </row>
    <row r="111" spans="2:4" x14ac:dyDescent="0.25">
      <c r="B111" s="8" t="s">
        <v>35</v>
      </c>
      <c r="D111" t="s">
        <v>36</v>
      </c>
    </row>
    <row r="113" spans="2:9" x14ac:dyDescent="0.25">
      <c r="B113" s="8" t="s">
        <v>57</v>
      </c>
    </row>
    <row r="114" spans="2:9" ht="15.75" thickBot="1" x14ac:dyDescent="0.3"/>
    <row r="115" spans="2:9" ht="19.5" thickBot="1" x14ac:dyDescent="0.35">
      <c r="B115" s="108" t="s">
        <v>134</v>
      </c>
      <c r="C115" s="109"/>
      <c r="D115" s="109"/>
      <c r="E115" s="109"/>
      <c r="F115" s="109"/>
      <c r="G115" s="109"/>
      <c r="H115" s="109"/>
      <c r="I115" s="110"/>
    </row>
    <row r="116" spans="2:9" ht="15.75" thickBot="1" x14ac:dyDescent="0.3">
      <c r="B116" s="88"/>
      <c r="C116" s="88"/>
      <c r="D116" s="88"/>
      <c r="E116" s="88"/>
      <c r="F116" s="88"/>
      <c r="G116" s="88"/>
      <c r="H116" s="88"/>
      <c r="I116" s="88"/>
    </row>
    <row r="117" spans="2:9" x14ac:dyDescent="0.25">
      <c r="B117" s="111" t="s">
        <v>135</v>
      </c>
      <c r="C117" s="112"/>
      <c r="D117" s="112"/>
      <c r="E117" s="112"/>
      <c r="F117" s="112"/>
      <c r="G117" s="112"/>
      <c r="H117" s="112"/>
      <c r="I117" s="113"/>
    </row>
    <row r="118" spans="2:9" x14ac:dyDescent="0.25">
      <c r="B118" s="114"/>
      <c r="C118" s="115"/>
      <c r="D118" s="115"/>
      <c r="E118" s="115"/>
      <c r="F118" s="115"/>
      <c r="G118" s="115"/>
      <c r="H118" s="115"/>
      <c r="I118" s="116"/>
    </row>
    <row r="119" spans="2:9" x14ac:dyDescent="0.25">
      <c r="B119" s="114"/>
      <c r="C119" s="115"/>
      <c r="D119" s="115"/>
      <c r="E119" s="115"/>
      <c r="F119" s="115"/>
      <c r="G119" s="115"/>
      <c r="H119" s="115"/>
      <c r="I119" s="116"/>
    </row>
    <row r="120" spans="2:9" x14ac:dyDescent="0.25">
      <c r="B120" s="114"/>
      <c r="C120" s="115"/>
      <c r="D120" s="115"/>
      <c r="E120" s="115"/>
      <c r="F120" s="115"/>
      <c r="G120" s="115"/>
      <c r="H120" s="115"/>
      <c r="I120" s="116"/>
    </row>
    <row r="121" spans="2:9" x14ac:dyDescent="0.25">
      <c r="B121" s="114"/>
      <c r="C121" s="115"/>
      <c r="D121" s="115"/>
      <c r="E121" s="115"/>
      <c r="F121" s="115"/>
      <c r="G121" s="115"/>
      <c r="H121" s="115"/>
      <c r="I121" s="116"/>
    </row>
    <row r="122" spans="2:9" x14ac:dyDescent="0.25">
      <c r="B122" s="114"/>
      <c r="C122" s="115"/>
      <c r="D122" s="115"/>
      <c r="E122" s="115"/>
      <c r="F122" s="115"/>
      <c r="G122" s="115"/>
      <c r="H122" s="115"/>
      <c r="I122" s="116"/>
    </row>
    <row r="123" spans="2:9" x14ac:dyDescent="0.25">
      <c r="B123" s="114"/>
      <c r="C123" s="115"/>
      <c r="D123" s="115"/>
      <c r="E123" s="115"/>
      <c r="F123" s="115"/>
      <c r="G123" s="115"/>
      <c r="H123" s="115"/>
      <c r="I123" s="116"/>
    </row>
    <row r="124" spans="2:9" x14ac:dyDescent="0.25">
      <c r="B124" s="114"/>
      <c r="C124" s="115"/>
      <c r="D124" s="115"/>
      <c r="E124" s="115"/>
      <c r="F124" s="115"/>
      <c r="G124" s="115"/>
      <c r="H124" s="115"/>
      <c r="I124" s="116"/>
    </row>
    <row r="125" spans="2:9" x14ac:dyDescent="0.25">
      <c r="B125" s="114"/>
      <c r="C125" s="115"/>
      <c r="D125" s="115"/>
      <c r="E125" s="115"/>
      <c r="F125" s="115"/>
      <c r="G125" s="115"/>
      <c r="H125" s="115"/>
      <c r="I125" s="116"/>
    </row>
    <row r="126" spans="2:9" ht="15.75" thickBot="1" x14ac:dyDescent="0.3">
      <c r="B126" s="117"/>
      <c r="C126" s="118"/>
      <c r="D126" s="118"/>
      <c r="E126" s="118"/>
      <c r="F126" s="118"/>
      <c r="G126" s="118"/>
      <c r="H126" s="118"/>
      <c r="I126" s="119"/>
    </row>
    <row r="128" spans="2:9" x14ac:dyDescent="0.25">
      <c r="B128" t="s">
        <v>157</v>
      </c>
    </row>
    <row r="129" spans="2:16" x14ac:dyDescent="0.25">
      <c r="B129" s="150" t="s">
        <v>161</v>
      </c>
      <c r="C129" s="150"/>
      <c r="D129" s="150"/>
      <c r="E129" s="150"/>
      <c r="F129" s="150"/>
      <c r="G129" s="150"/>
      <c r="H129" s="150"/>
      <c r="I129" s="150"/>
      <c r="J129" s="150"/>
      <c r="K129" s="150"/>
      <c r="L129" s="150"/>
      <c r="M129" s="150"/>
      <c r="N129" s="150"/>
      <c r="O129" s="150"/>
      <c r="P129" s="150"/>
    </row>
    <row r="130" spans="2:16" x14ac:dyDescent="0.25">
      <c r="B130" s="150"/>
      <c r="C130" s="150"/>
      <c r="D130" s="150"/>
      <c r="E130" s="150"/>
      <c r="F130" s="150"/>
      <c r="G130" s="150"/>
      <c r="H130" s="150"/>
      <c r="I130" s="150"/>
      <c r="J130" s="150"/>
      <c r="K130" s="150"/>
      <c r="L130" s="150"/>
      <c r="M130" s="150"/>
      <c r="N130" s="150"/>
      <c r="O130" s="150"/>
      <c r="P130" s="150"/>
    </row>
    <row r="131" spans="2:16" x14ac:dyDescent="0.25">
      <c r="B131" s="150"/>
      <c r="C131" s="150"/>
      <c r="D131" s="150"/>
      <c r="E131" s="150"/>
      <c r="F131" s="150"/>
      <c r="G131" s="150"/>
      <c r="H131" s="150"/>
      <c r="I131" s="150"/>
      <c r="J131" s="150"/>
      <c r="K131" s="150"/>
      <c r="L131" s="150"/>
      <c r="M131" s="150"/>
      <c r="N131" s="150"/>
      <c r="O131" s="150"/>
      <c r="P131" s="150"/>
    </row>
    <row r="132" spans="2:16" x14ac:dyDescent="0.25">
      <c r="B132" s="150"/>
      <c r="C132" s="150"/>
      <c r="D132" s="150"/>
      <c r="E132" s="150"/>
      <c r="F132" s="150"/>
      <c r="G132" s="150"/>
      <c r="H132" s="150"/>
      <c r="I132" s="150"/>
      <c r="J132" s="150"/>
      <c r="K132" s="150"/>
      <c r="L132" s="150"/>
      <c r="M132" s="150"/>
      <c r="N132" s="150"/>
      <c r="O132" s="150"/>
      <c r="P132" s="150"/>
    </row>
    <row r="133" spans="2:16" x14ac:dyDescent="0.25">
      <c r="B133" s="150"/>
      <c r="C133" s="150"/>
      <c r="D133" s="150"/>
      <c r="E133" s="150"/>
      <c r="F133" s="150"/>
      <c r="G133" s="150"/>
      <c r="H133" s="150"/>
      <c r="I133" s="150"/>
      <c r="J133" s="150"/>
      <c r="K133" s="150"/>
      <c r="L133" s="150"/>
      <c r="M133" s="150"/>
      <c r="N133" s="150"/>
      <c r="O133" s="150"/>
      <c r="P133" s="150"/>
    </row>
    <row r="134" spans="2:16" x14ac:dyDescent="0.25">
      <c r="B134" s="150"/>
      <c r="C134" s="150"/>
      <c r="D134" s="150"/>
      <c r="E134" s="150"/>
      <c r="F134" s="150"/>
      <c r="G134" s="150"/>
      <c r="H134" s="150"/>
      <c r="I134" s="150"/>
      <c r="J134" s="150"/>
      <c r="K134" s="150"/>
      <c r="L134" s="150"/>
      <c r="M134" s="150"/>
      <c r="N134" s="150"/>
      <c r="O134" s="150"/>
      <c r="P134" s="150"/>
    </row>
    <row r="135" spans="2:16" x14ac:dyDescent="0.25">
      <c r="B135" s="150"/>
      <c r="C135" s="150"/>
      <c r="D135" s="150"/>
      <c r="E135" s="150"/>
      <c r="F135" s="150"/>
      <c r="G135" s="150"/>
      <c r="H135" s="150"/>
      <c r="I135" s="150"/>
      <c r="J135" s="150"/>
      <c r="K135" s="150"/>
      <c r="L135" s="150"/>
      <c r="M135" s="150"/>
      <c r="N135" s="150"/>
      <c r="O135" s="150"/>
      <c r="P135" s="150"/>
    </row>
    <row r="136" spans="2:16" x14ac:dyDescent="0.25">
      <c r="B136" s="150"/>
      <c r="C136" s="150"/>
      <c r="D136" s="150"/>
      <c r="E136" s="150"/>
      <c r="F136" s="150"/>
      <c r="G136" s="150"/>
      <c r="H136" s="150"/>
      <c r="I136" s="150"/>
      <c r="J136" s="150"/>
      <c r="K136" s="150"/>
      <c r="L136" s="150"/>
      <c r="M136" s="150"/>
      <c r="N136" s="150"/>
      <c r="O136" s="150"/>
      <c r="P136" s="150"/>
    </row>
  </sheetData>
  <mergeCells count="11">
    <mergeCell ref="B129:P136"/>
    <mergeCell ref="B115:I115"/>
    <mergeCell ref="B117:I126"/>
    <mergeCell ref="B1:C2"/>
    <mergeCell ref="B43:I43"/>
    <mergeCell ref="B51:I51"/>
    <mergeCell ref="B53:S56"/>
    <mergeCell ref="B58:I58"/>
    <mergeCell ref="B88:I88"/>
    <mergeCell ref="B62:O63"/>
    <mergeCell ref="D47:O47"/>
  </mergeCells>
  <hyperlinks>
    <hyperlink ref="B1" location="gid=1910165825&amp;range=B114:I114" display="gid=1910165825&amp;range=B114:I114" xr:uid="{00000000-0004-0000-0100-000000000000}"/>
    <hyperlink ref="B1:C2" location="Legende!B120" display="Hier geht's direkt zum Thema Covered Calls" xr:uid="{00000000-0004-0000-0100-000001000000}"/>
  </hyperlinks>
  <pageMargins left="0.7" right="0.7" top="0.78740157499999996" bottom="0.78740157499999996" header="0.3" footer="0.3"/>
  <pageSetup paperSize="9" orientation="portrait" horizont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8"/>
  <sheetViews>
    <sheetView topLeftCell="B1" workbookViewId="0">
      <selection activeCell="B1" sqref="B1"/>
    </sheetView>
  </sheetViews>
  <sheetFormatPr baseColWidth="10" defaultRowHeight="15" x14ac:dyDescent="0.25"/>
  <cols>
    <col min="1" max="1" width="0" hidden="1" customWidth="1"/>
    <col min="2" max="3" width="14.28515625" customWidth="1"/>
  </cols>
  <sheetData>
    <row r="1" spans="1:3" x14ac:dyDescent="0.25">
      <c r="A1" t="s">
        <v>141</v>
      </c>
    </row>
    <row r="3" spans="1:3" x14ac:dyDescent="0.25">
      <c r="A3">
        <v>1</v>
      </c>
    </row>
    <row r="4" spans="1:3" x14ac:dyDescent="0.25">
      <c r="A4">
        <v>2</v>
      </c>
    </row>
    <row r="5" spans="1:3" x14ac:dyDescent="0.25">
      <c r="A5">
        <v>3</v>
      </c>
      <c r="B5" t="s">
        <v>63</v>
      </c>
      <c r="C5">
        <v>0.95286000000000004</v>
      </c>
    </row>
    <row r="6" spans="1:3" x14ac:dyDescent="0.25">
      <c r="A6">
        <v>4</v>
      </c>
      <c r="B6" t="s">
        <v>105</v>
      </c>
      <c r="C6">
        <v>1.0494399999999999</v>
      </c>
    </row>
    <row r="7" spans="1:3" x14ac:dyDescent="0.25">
      <c r="A7">
        <v>5</v>
      </c>
      <c r="B7" t="s">
        <v>137</v>
      </c>
      <c r="C7">
        <v>1.0100549999999999</v>
      </c>
    </row>
    <row r="8" spans="1:3" x14ac:dyDescent="0.25">
      <c r="A8" t="s">
        <v>138</v>
      </c>
    </row>
  </sheetData>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H c E A A B Q S w M E F A A C A A g A y Y u T U e 5 0 L 1 G k A A A A 9 Q A A A B I A H A B D b 2 5 m a W c v U G F j a 2 F n Z S 5 4 b W w g o h g A K K A U A A A A A A A A A A A A A A A A A A A A A A A A A A A A h Y 8 x D o I w G I W v Q r r T l m o i I T 9 l U D d J T E y M a 1 M q N E I x t F j u 5 u C R v I I Y R d 0 c 3 / e + 4 b 3 7 9 Q b Z 0 N T B R X V W t y Z F E a Y o U E a 2 h T Z l i n p 3 D G O U c d g K e R K l C k b Z 2 G S w R Y o q 5 8 4 J I d 5 7 7 G e 4 7 U r C K I 3 I I d / s Z K U a g T 6 y / i + H 2 l g n j F S I w / 4 1 h j M c L z B j c 0 y B T A x y b b 4 9 G + c + 2 x 8 I y 7 5 2 f a d 4 o c L V G s g U g b w v 8 A d Q S w M E F A A C A A g A y Y u T U 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M m L k 1 G d X D T 8 c Q E A A H Q D A A A T A B w A R m 9 y b X V s Y X M v U 2 V j d G l v b j E u b S C i G A A o o B Q A A A A A A A A A A A A A A A A A A A A A A A A A A A C t k M 1 K w 0 A U R v e B v M M l h d J A O k l B X C i h i 7 a I O + 0 P C u J i m t w m g W S m T m 7 a S u j b + C a + m J M 0 0 o h V o Z j N D P N N z j 3 z 5 R h Q I g X M D u v g 2 j R M I 4 + 5 w h D G M i g y F A Q + p E i m A f q 7 L z B N U Z 8 8 4 J L d 8 Q h 7 1 W Y k B e m L e c + K i d b 5 l e t u t 1 t W Z A q D W K D q Y 6 E k C 9 H d c o x V I a K 8 C S z b d g 7 c M S f u a e y B X 3 r 7 p + r k 2 T Q S 0 b r Q t u t Y i 5 l W T F O u Y L I L Y i 4 i h C k n z G H O l 9 p R S 2 1 Q k Z 5 y 7 g N 2 f V X x W C A z l y q m O 1 w p m f m L 2 b j L M 1 k I 8 g d / P q F J O 9 Y N v r + J s D a C + e u 6 s q p F 2 V x x k a + k y k Y y L T K h M 8 x 7 N c 0 p y + M r L Q d I R 0 C 4 o 7 0 D p T V g n g f a R Q e 3 g i 4 v W P V n n S R i w + B 0 v L e P n X 5 3 + l p w q w t o u o C q i 0 j x d d x 0 M V l M u y S r S v 6 l 5 h / Q d s v 6 g D 5 t G i K s E s F F g P D K Y y l r 3 Z d C E r q a p k n + 4 3 D t f 2 7 P M g 6 R N S N Y P Y L 9 P u K E + Q d Q S w E C L Q A U A A I A C A D J i 5 N R 7 n Q v U a Q A A A D 1 A A A A E g A A A A A A A A A A A A A A A A A A A A A A Q 2 9 u Z m l n L 1 B h Y 2 t h Z 2 U u e G 1 s U E s B A i 0 A F A A C A A g A y Y u T U Q / K 6 a u k A A A A 6 Q A A A B M A A A A A A A A A A A A A A A A A 8 A A A A F t D b 2 5 0 Z W 5 0 X 1 R 5 c G V z X S 5 4 b W x Q S w E C L Q A U A A I A C A D J i 5 N R n V w 0 / H E B A A B 0 A w A A E w A A A A A A A A A A A A A A A A D h A Q A A R m 9 y b X V s Y X M v U 2 V j d G l v b j E u b V B L B Q Y A A A A A A w A D A M I A A A C f 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4 0 J A A A A A A A A B I k 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E b 2 N 1 b W V u d 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E i I C 8 + P E V u d H J 5 I F R 5 c G U 9 I k Z p b G x F c n J v c k N v Z G U i I F Z h b H V l P S J z V W 5 r b m 9 3 b i I g L z 4 8 R W 5 0 c n k g V H l w Z T 0 i R m l s b E V y c m 9 y Q 2 9 1 b n Q i I F Z h b H V l P S J s M C I g L z 4 8 R W 5 0 c n k g V H l w Z T 0 i R m l s b E x h c 3 R V c G R h d G V k I i B W Y W x 1 Z T 0 i Z D I w M j A t M T I t M T l U M T Y 6 M j A 6 M D Q u N j M 2 N j I 2 M l o i I C 8 + P E V u d H J 5 I F R 5 c G U 9 I k Z p b G x D b 2 x 1 b W 5 U e X B l c y I g V m F s d W U 9 I n N C Z 1 l H I i A v P j x F b n R y e S B U e X B l P S J G a W x s Q 2 9 s d W 1 u T m F t Z X M i I F Z h b H V l P S J z W y Z x d W 9 0 O 0 t p b m Q m c X V v d D s s J n F 1 b 3 Q 7 T m F t Z S Z x d W 9 0 O y w m c X V v d D t U Z X h 0 J n F 1 b 3 Q 7 X S I g L z 4 8 R W 5 0 c n k g V H l w Z T 0 i R m l s b F N 0 Y X R 1 c y I g V m F s d W U 9 I n N D b 2 1 w b G V 0 Z S I g L z 4 8 R W 5 0 c n k g V H l w Z T 0 i U m V s Y X R p b 2 5 z a G l w S W 5 m b 0 N v b n R h a W 5 l c i I g V m F s d W U 9 I n N 7 J n F 1 b 3 Q 7 Y 2 9 s d W 1 u Q 2 9 1 b n Q m c X V v d D s 6 M y w m c X V v d D t r Z X l D b 2 x 1 b W 5 O Y W 1 l c y Z x d W 9 0 O z p b X S w m c X V v d D t x d W V y e V J l b G F 0 a W 9 u c 2 h p c H M m c X V v d D s 6 W 1 0 s J n F 1 b 3 Q 7 Y 2 9 s d W 1 u S W R l b n R p d G l l c y Z x d W 9 0 O z p b J n F 1 b 3 Q 7 U 2 V j d G l v b j E v R G 9 j d W 1 l b n Q v R G F 0 Y T A u e 0 t p b m Q s M H 0 m c X V v d D s s J n F 1 b 3 Q 7 U 2 V j d G l v b j E v R G 9 j d W 1 l b n Q v R G F 0 Y T A u e 0 5 h b W U s M X 0 m c X V v d D s s J n F 1 b 3 Q 7 U 2 V j d G l v b j E v R G 9 j d W 1 l b n Q v R G F 0 Y T A u e 1 R l e H Q s M 3 0 m c X V v d D t d L C Z x d W 9 0 O 0 N v b H V t b k N v d W 5 0 J n F 1 b 3 Q 7 O j M s J n F 1 b 3 Q 7 S 2 V 5 Q 2 9 s d W 1 u T m F t Z X M m c X V v d D s 6 W 1 0 s J n F 1 b 3 Q 7 Q 2 9 s d W 1 u S W R l b n R p d G l l c y Z x d W 9 0 O z p b J n F 1 b 3 Q 7 U 2 V j d G l v b j E v R G 9 j d W 1 l b n Q v R G F 0 Y T A u e 0 t p b m Q s M H 0 m c X V v d D s s J n F 1 b 3 Q 7 U 2 V j d G l v b j E v R G 9 j d W 1 l b n Q v R G F 0 Y T A u e 0 5 h b W U s M X 0 m c X V v d D s s J n F 1 b 3 Q 7 U 2 V j d G l v b j E v R G 9 j d W 1 l b n Q v R G F 0 Y T A u e 1 R l e H Q s M 3 0 m c X V v d D t d L C Z x d W 9 0 O 1 J l b G F 0 a W 9 u c 2 h p c E l u Z m 8 m c X V v d D s 6 W 1 1 9 I i A v P j w v U 3 R h Y m x l R W 5 0 c m l l c z 4 8 L 0 l 0 Z W 0 + P E l 0 Z W 0 + P E l 0 Z W 1 M b 2 N h d G l v b j 4 8 S X R l b V R 5 c G U + R m 9 y b X V s Y T w v S X R l b V R 5 c G U + P E l 0 Z W 1 Q Y X R o P l N l Y 3 R p b 2 4 x L 0 R v Y 3 V t Z W 5 0 L 1 F 1 Z W x s Z T w v S X R l b V B h d G g + P C 9 J d G V t T G 9 j Y X R p b 2 4 + P F N 0 Y W J s Z U V u d H J p Z X M g L z 4 8 L 0 l 0 Z W 0 + P E l 0 Z W 0 + P E l 0 Z W 1 M b 2 N h d G l v b j 4 8 S X R l b V R 5 c G U + R m 9 y b X V s Y T w v S X R l b V R 5 c G U + P E l 0 Z W 1 Q Y X R o P l N l Y 3 R p b 2 4 x L 0 R v Y 3 V t Z W 5 0 L 0 R h d G E w P C 9 J d G V t U G F 0 a D 4 8 L 0 l 0 Z W 1 M b 2 N h d G l v b j 4 8 U 3 R h Y m x l R W 5 0 c m l l c y A v P j w v S X R l b T 4 8 S X R l b T 4 8 S X R l b U x v Y 2 F 0 a W 9 u P j x J d G V t V H l w Z T 5 G b 3 J t d W x h P C 9 J d G V t V H l w Z T 4 8 S X R l b V B h d G g + U 2 V j d G l v b j E v V V M l M j B E b 2 x s Y X I l M j B F e G N o Y W 5 n Z S U y M F J h d G V z J T I w V G F i b G U l M j B D b 2 5 2 Z X J 0 Z X I 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S I g L z 4 8 R W 5 0 c n k g V H l w Z T 0 i Q W R k Z W R U b 0 R h d G F N b 2 R l b C I g V m F s d W U 9 I m w w I i A v P j x F b n R y e S B U e X B l P S J G a W x s Q 2 9 1 b n Q i I F Z h b H V l P S J s M T A i I C 8 + P E V u d H J 5 I F R 5 c G U 9 I k Z p b G x F c n J v c k N v Z G U i I F Z h b H V l P S J z V W 5 r b m 9 3 b i I g L z 4 8 R W 5 0 c n k g V H l w Z T 0 i R m l s b E V y c m 9 y Q 2 9 1 b n Q i I F Z h b H V l P S J s M C I g L z 4 8 R W 5 0 c n k g V H l w Z T 0 i R m l s b E x h c 3 R V c G R h d G V k I i B W Y W x 1 Z T 0 i Z D I w M j A t M T I t M T l U M T Y 6 M j U 6 N D g u N z g 1 N j I 4 M V o i I C 8 + P E V u d H J 5 I F R 5 c G U 9 I k Z p b G x D b 2 x 1 b W 5 U e X B l c y I g V m F s d W U 9 I n N C Z 0 1 E I i A v P j x F b n R y e S B U e X B l P S J G a W x s Q 2 9 s d W 1 u T m F t Z X M i I F Z h b H V l P S J z W y Z x d W 9 0 O 1 V T I E R v b G x h c i Z x d W 9 0 O y w m c X V v d D s x L j A w I F V T R C Z x d W 9 0 O y w m c X V v d D t p b n Y u I D E u M D A g V V N E J n F 1 b 3 Q 7 X S I g L z 4 8 R W 5 0 c n k g V H l w Z T 0 i R m l s b F N 0 Y X R 1 c y I g V m F s d W U 9 I n N D b 2 1 w b G V 0 Z S I g L z 4 8 R W 5 0 c n k g V H l w Z T 0 i U m V s Y X R p b 2 5 z a G l w S W 5 m b 0 N v b n R h a W 5 l c i I g V m F s d W U 9 I n N 7 J n F 1 b 3 Q 7 Y 2 9 s d W 1 u Q 2 9 1 b n Q m c X V v d D s 6 M y w m c X V v d D t r Z X l D b 2 x 1 b W 5 O Y W 1 l c y Z x d W 9 0 O z p b X S w m c X V v d D t x d W V y e V J l b G F 0 a W 9 u c 2 h p c H M m c X V v d D s 6 W 1 0 s J n F 1 b 3 Q 7 Y 2 9 s d W 1 u S W R l b n R p d G l l c y Z x d W 9 0 O z p b J n F 1 b 3 Q 7 U 2 V j d G l v b j E v V V M g R G 9 s b G F y I E V 4 Y 2 h h b m d l I F J h d G V z I F R h Y m x l I E N v b n Z l c n R l c i 9 H Z c O k b m R l c n R l c i B U e X A u e 1 V T I E R v b G x h c i w w f S Z x d W 9 0 O y w m c X V v d D t T Z W N 0 a W 9 u M S 9 V U y B E b 2 x s Y X I g R X h j a G F u Z 2 U g U m F 0 Z X M g V G F i b G U g Q 2 9 u d m V y d G V y L 0 d l w 6 R u Z G V y d G V y I F R 5 c C 5 7 M S 4 w M C B V U 0 Q s M X 0 m c X V v d D s s J n F 1 b 3 Q 7 U 2 V j d G l v b j E v V V M g R G 9 s b G F y I E V 4 Y 2 h h b m d l I F J h d G V z I F R h Y m x l I E N v b n Z l c n R l c i 9 H Z c O k b m R l c n R l c i B U e X A u e 2 l u d i 4 g M S 4 w M C B V U 0 Q s M n 0 m c X V v d D t d L C Z x d W 9 0 O 0 N v b H V t b k N v d W 5 0 J n F 1 b 3 Q 7 O j M s J n F 1 b 3 Q 7 S 2 V 5 Q 2 9 s d W 1 u T m F t Z X M m c X V v d D s 6 W 1 0 s J n F 1 b 3 Q 7 Q 2 9 s d W 1 u S W R l b n R p d G l l c y Z x d W 9 0 O z p b J n F 1 b 3 Q 7 U 2 V j d G l v b j E v V V M g R G 9 s b G F y I E V 4 Y 2 h h b m d l I F J h d G V z I F R h Y m x l I E N v b n Z l c n R l c i 9 H Z c O k b m R l c n R l c i B U e X A u e 1 V T I E R v b G x h c i w w f S Z x d W 9 0 O y w m c X V v d D t T Z W N 0 a W 9 u M S 9 V U y B E b 2 x s Y X I g R X h j a G F u Z 2 U g U m F 0 Z X M g V G F i b G U g Q 2 9 u d m V y d G V y L 0 d l w 6 R u Z G V y d G V y I F R 5 c C 5 7 M S 4 w M C B V U 0 Q s M X 0 m c X V v d D s s J n F 1 b 3 Q 7 U 2 V j d G l v b j E v V V M g R G 9 s b G F y I E V 4 Y 2 h h b m d l I F J h d G V z I F R h Y m x l I E N v b n Z l c n R l c i 9 H Z c O k b m R l c n R l c i B U e X A u e 2 l u d i 4 g M S 4 w M C B V U 0 Q s M n 0 m c X V v d D t d L C Z x d W 9 0 O 1 J l b G F 0 a W 9 u c 2 h p c E l u Z m 8 m c X V v d D s 6 W 1 1 9 I i A v P j w v U 3 R h Y m x l R W 5 0 c m l l c z 4 8 L 0 l 0 Z W 0 + P E l 0 Z W 0 + P E l 0 Z W 1 M b 2 N h d G l v b j 4 8 S X R l b V R 5 c G U + R m 9 y b X V s Y T w v S X R l b V R 5 c G U + P E l 0 Z W 1 Q Y X R o P l N l Y 3 R p b 2 4 x L 1 V T J T I w R G 9 s b G F y J T I w R X h j a G F u Z 2 U l M j B S Y X R l c y U y M F R h Y m x l J T I w Q 2 9 u d m V y d G V y L 1 F 1 Z W x s Z T w v S X R l b V B h d G g + P C 9 J d G V t T G 9 j Y X R p b 2 4 + P F N 0 Y W J s Z U V u d H J p Z X M g L z 4 8 L 0 l 0 Z W 0 + P E l 0 Z W 0 + P E l 0 Z W 1 M b 2 N h d G l v b j 4 8 S X R l b V R 5 c G U + R m 9 y b X V s Y T w v S X R l b V R 5 c G U + P E l 0 Z W 1 Q Y X R o P l N l Y 3 R p b 2 4 x L 1 V T J T I w R G 9 s b G F y J T I w R X h j a G F u Z 2 U l M j B S Y X R l c y U y M F R h Y m x l J T I w Q 2 9 u d m V y d G V y L 0 R h d G E w P C 9 J d G V t U G F 0 a D 4 8 L 0 l 0 Z W 1 M b 2 N h d G l v b j 4 8 U 3 R h Y m x l R W 5 0 c m l l c y A v P j w v S X R l b T 4 8 S X R l b T 4 8 S X R l b U x v Y 2 F 0 a W 9 u P j x J d G V t V H l w Z T 5 G b 3 J t d W x h P C 9 J d G V t V H l w Z T 4 8 S X R l b V B h d G g + U 2 V j d G l v b j E v V V M l M j B E b 2 x s Y X I l M j B F e G N o Y W 5 n Z S U y M F J h d G V z J T I w V G F i b G U l M j B D b 2 5 2 Z X J 0 Z X I v R 2 U l Q z M l Q T R u Z G V y d G V y J T I w V H l w P C 9 J d G V t U G F 0 a D 4 8 L 0 l 0 Z W 1 M b 2 N h d G l v b j 4 8 U 3 R h Y m x l R W 5 0 c m l l c y A v P j w v S X R l b T 4 8 S X R l b T 4 8 S X R l b U x v Y 2 F 0 a W 9 u P j x J d G V t V H l w Z T 5 G b 3 J t d W x h P C 9 J d G V t V H l w Z T 4 8 S X R l b V B h d G g + U 2 V j d G l v b j E v a H R 0 c H M l M 0 E l M k Y l M k Z 3 d 3 c l M j B 4 L X J h d G V z J T I w Y 2 9 t J T J G Z 3 J h c G g l M k Y l M 0 Z m c m 9 t J T N E R V V S J T I 2 d G 8 l M 0 R V U 0 Q 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A i I C 8 + P E V u d H J 5 I F R 5 c G U 9 I k Z p b G x D b 3 V u d C I g V m F s d W U 9 I m w x I i A v P j x F b n R y e S B U e X B l P S J G a W x s R X J y b 3 J D b 2 R l I i B W Y W x 1 Z T 0 i c 1 V u a 2 5 v d 2 4 i I C 8 + P E V u d H J 5 I F R 5 c G U 9 I k Z p b G x F c n J v c k N v d W 5 0 I i B W Y W x 1 Z T 0 i b D A i I C 8 + P E V u d H J 5 I F R 5 c G U 9 I k Z p b G x M Y X N 0 V X B k Y X R l Z C I g V m F s d W U 9 I m Q y M D I w L T E y L T E 5 V D E 2 O j I 4 O j A y L j k z N z Y 4 N j N a I i A v P j x F b n R y e S B U e X B l P S J G a W x s Q 2 9 s d W 1 u V H l w Z X M i I F Z h b H V l P S J z Q m d Z R 0 J n P T 0 i I C 8 + P E V u d H J 5 I F R 5 c G U 9 I k Z p b G x D b 2 x 1 b W 5 O Y W 1 l c y I g V m F s d W U 9 I n N b J n F 1 b 3 Q 7 Q 2 F w d G l v b i Z x d W 9 0 O y w m c X V v d D t T b 3 V y Y 2 U m c X V v d D s s J n F 1 b 3 Q 7 Q 2 x h c 3 N O Y W 1 l J n F 1 b 3 Q 7 L C Z x d W 9 0 O 0 l k J n F 1 b 3 Q 7 X S I g L z 4 8 R W 5 0 c n k g V H l w Z T 0 i R m l s b F N 0 Y X R 1 c y I g V m F s d W U 9 I n N D b 2 1 w b G V 0 Z S I g L z 4 8 R W 5 0 c n k g V H l w Z T 0 i U m V s Y X R p b 2 5 z a G l w S W 5 m b 0 N v b n R h a W 5 l c i I g V m F s d W U 9 I n N 7 J n F 1 b 3 Q 7 Y 2 9 s d W 1 u Q 2 9 1 b n Q m c X V v d D s 6 N C w m c X V v d D t r Z X l D b 2 x 1 b W 5 O Y W 1 l c y Z x d W 9 0 O z p b X S w m c X V v d D t x d W V y e V J l b G F 0 a W 9 u c 2 h p c H M m c X V v d D s 6 W 1 0 s J n F 1 b 3 Q 7 Y 2 9 s d W 1 u S W R l b n R p d G l l c y Z x d W 9 0 O z p b J n F 1 b 3 Q 7 U 2 V j d G l v b j E v a H R 0 c H M 6 X F w v X F w v d 3 d 3 I H g t c m F 0 Z X M g Y 2 9 t X F w v Z 3 J h c G h c X C 8 / Z n J v b T 1 F V V J c d T A w M j Z 0 b z 1 V U 0 Q v U X V l b G x l L n t D Y X B 0 a W 9 u L D B 9 J n F 1 b 3 Q 7 L C Z x d W 9 0 O 1 N l Y 3 R p b 2 4 x L 2 h 0 d H B z O l x c L 1 x c L 3 d 3 d y B 4 L X J h d G V z I G N v b V x c L 2 d y Y X B o X F w v P 2 Z y b 2 0 9 R V V S X H U w M D I 2 d G 8 9 V V N E L 1 F 1 Z W x s Z S 5 7 U 2 9 1 c m N l L D F 9 J n F 1 b 3 Q 7 L C Z x d W 9 0 O 1 N l Y 3 R p b 2 4 x L 2 h 0 d H B z O l x c L 1 x c L 3 d 3 d y B 4 L X J h d G V z I G N v b V x c L 2 d y Y X B o X F w v P 2 Z y b 2 0 9 R V V S X H U w M D I 2 d G 8 9 V V N E L 1 F 1 Z W x s Z S 5 7 Q 2 x h c 3 N O Y W 1 l L D J 9 J n F 1 b 3 Q 7 L C Z x d W 9 0 O 1 N l Y 3 R p b 2 4 x L 2 h 0 d H B z O l x c L 1 x c L 3 d 3 d y B 4 L X J h d G V z I G N v b V x c L 2 d y Y X B o X F w v P 2 Z y b 2 0 9 R V V S X H U w M D I 2 d G 8 9 V V N E L 1 F 1 Z W x s Z S 5 7 S W Q s M 3 0 m c X V v d D t d L C Z x d W 9 0 O 0 N v b H V t b k N v d W 5 0 J n F 1 b 3 Q 7 O j Q s J n F 1 b 3 Q 7 S 2 V 5 Q 2 9 s d W 1 u T m F t Z X M m c X V v d D s 6 W 1 0 s J n F 1 b 3 Q 7 Q 2 9 s d W 1 u S W R l b n R p d G l l c y Z x d W 9 0 O z p b J n F 1 b 3 Q 7 U 2 V j d G l v b j E v a H R 0 c H M 6 X F w v X F w v d 3 d 3 I H g t c m F 0 Z X M g Y 2 9 t X F w v Z 3 J h c G h c X C 8 / Z n J v b T 1 F V V J c d T A w M j Z 0 b z 1 V U 0 Q v U X V l b G x l L n t D Y X B 0 a W 9 u L D B 9 J n F 1 b 3 Q 7 L C Z x d W 9 0 O 1 N l Y 3 R p b 2 4 x L 2 h 0 d H B z O l x c L 1 x c L 3 d 3 d y B 4 L X J h d G V z I G N v b V x c L 2 d y Y X B o X F w v P 2 Z y b 2 0 9 R V V S X H U w M D I 2 d G 8 9 V V N E L 1 F 1 Z W x s Z S 5 7 U 2 9 1 c m N l L D F 9 J n F 1 b 3 Q 7 L C Z x d W 9 0 O 1 N l Y 3 R p b 2 4 x L 2 h 0 d H B z O l x c L 1 x c L 3 d 3 d y B 4 L X J h d G V z I G N v b V x c L 2 d y Y X B o X F w v P 2 Z y b 2 0 9 R V V S X H U w M D I 2 d G 8 9 V V N E L 1 F 1 Z W x s Z S 5 7 Q 2 x h c 3 N O Y W 1 l L D J 9 J n F 1 b 3 Q 7 L C Z x d W 9 0 O 1 N l Y 3 R p b 2 4 x L 2 h 0 d H B z O l x c L 1 x c L 3 d 3 d y B 4 L X J h d G V z I G N v b V x c L 2 d y Y X B o X F w v P 2 Z y b 2 0 9 R V V S X H U w M D I 2 d G 8 9 V V N E L 1 F 1 Z W x s Z S 5 7 S W Q s M 3 0 m c X V v d D t d L C Z x d W 9 0 O 1 J l b G F 0 a W 9 u c 2 h p c E l u Z m 8 m c X V v d D s 6 W 1 1 9 I i A v P j w v U 3 R h Y m x l R W 5 0 c m l l c z 4 8 L 0 l 0 Z W 0 + P E l 0 Z W 0 + P E l 0 Z W 1 M b 2 N h d G l v b j 4 8 S X R l b V R 5 c G U + R m 9 y b X V s Y T w v S X R l b V R 5 c G U + P E l 0 Z W 1 Q Y X R o P l N l Y 3 R p b 2 4 x L 2 h 0 d H B z J T N B J T J G J T J G d 3 d 3 J T I w e C 1 y Y X R l c y U y M G N v b S U y R m d y Y X B o J T J G J T N G Z n J v b S U z R E V V U i U y N n R v J T N E V V N E L 1 F 1 Z W x s Z T w v S X R l b V B h d G g + P C 9 J d G V t T G 9 j Y X R p b 2 4 + P F N 0 Y W J s Z U V u d H J p Z X M g L z 4 8 L 0 l 0 Z W 0 + P E l 0 Z W 0 + P E l 0 Z W 1 M b 2 N h d G l v b j 4 8 S X R l b V R 5 c G U + R m 9 y b X V s Y T w v S X R l b V R 5 c G U + P E l 0 Z W 1 Q Y X R o P l N l Y 3 R p b 2 4 x L 2 h 0 d H B z J T N B J T J G J T J G Z G U l M j B m a W 5 h b m N l J T I w e W F o b 2 8 l M j B j b 2 0 l M k Z x d W 9 0 Z S U y R k V V U l V T R C U z R F g l M 0 Z w J T N E R V V S V V N E J T N E W 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M i I C 8 + P E V u d H J 5 I F R 5 c G U 9 I k Z p b G x F c n J v c k N v Z G U i I F Z h b H V l P S J z V W 5 r b m 9 3 b i I g L z 4 8 R W 5 0 c n k g V H l w Z T 0 i R m l s b E V y c m 9 y Q 2 9 1 b n Q i I F Z h b H V l P S J s M C I g L z 4 8 R W 5 0 c n k g V H l w Z T 0 i R m l s b E x h c 3 R V c G R h d G V k I i B W Y W x 1 Z T 0 i Z D I w M j A t M T I t M T l U M T Y 6 M z A 6 M T Q u N j A 2 M j Q 0 N 1 o i I C 8 + P E V u d H J 5 I F R 5 c G U 9 I k Z p b G x D b 2 x 1 b W 5 U e X B l c y I g V m F s d W U 9 I n N C Z 1 l H Q m c 9 P S I g L z 4 8 R W 5 0 c n k g V H l w Z T 0 i R m l s b E N v b H V t b k 5 h b W V z I i B W Y W x 1 Z T 0 i c 1 s m c X V v d D t D Y X B 0 a W 9 u J n F 1 b 3 Q 7 L C Z x d W 9 0 O 1 N v d X J j Z S Z x d W 9 0 O y w m c X V v d D t D b G F z c 0 5 h b W U m c X V v d D s s J n F 1 b 3 Q 7 S W Q m c X V v d D t d I i A v P j x F b n R y e S B U e X B l P S J G a W x s U 3 R h d H V z I i B W Y W x 1 Z T 0 i c 0 N v b X B s Z X R l I i A v P j x F b n R y e S B U e X B l P S J S Z W x h d G l v b n N o a X B J b m Z v Q 2 9 u d G F p b m V y I i B W Y W x 1 Z T 0 i c 3 s m c X V v d D t j b 2 x 1 b W 5 D b 3 V u d C Z x d W 9 0 O z o 0 L C Z x d W 9 0 O 2 t l e U N v b H V t b k 5 h b W V z J n F 1 b 3 Q 7 O l t d L C Z x d W 9 0 O 3 F 1 Z X J 5 U m V s Y X R p b 2 5 z a G l w c y Z x d W 9 0 O z p b X S w m c X V v d D t j b 2 x 1 b W 5 J Z G V u d G l 0 a W V z J n F 1 b 3 Q 7 O l s m c X V v d D t T Z W N 0 a W 9 u M S 9 o d H R w c z p c X C 9 c X C 9 k Z S B m a W 5 h b m N l I H l h a G 9 v I G N v b V x c L 3 F 1 b 3 R l X F w v R V V S V V N E P V g / c D 1 F V V J V U 0 Q 9 W C 9 R d W V s b G U u e 0 N h c H R p b 2 4 s M H 0 m c X V v d D s s J n F 1 b 3 Q 7 U 2 V j d G l v b j E v a H R 0 c H M 6 X F w v X F w v Z G U g Z m l u Y W 5 j Z S B 5 Y W h v b y B j b 2 1 c X C 9 x d W 9 0 Z V x c L 0 V V U l V T R D 1 Y P 3 A 9 R V V S V V N E P V g v U X V l b G x l L n t T b 3 V y Y 2 U s M X 0 m c X V v d D s s J n F 1 b 3 Q 7 U 2 V j d G l v b j E v a H R 0 c H M 6 X F w v X F w v Z G U g Z m l u Y W 5 j Z S B 5 Y W h v b y B j b 2 1 c X C 9 x d W 9 0 Z V x c L 0 V V U l V T R D 1 Y P 3 A 9 R V V S V V N E P V g v U X V l b G x l L n t D b G F z c 0 5 h b W U s M n 0 m c X V v d D s s J n F 1 b 3 Q 7 U 2 V j d G l v b j E v a H R 0 c H M 6 X F w v X F w v Z G U g Z m l u Y W 5 j Z S B 5 Y W h v b y B j b 2 1 c X C 9 x d W 9 0 Z V x c L 0 V V U l V T R D 1 Y P 3 A 9 R V V S V V N E P V g v U X V l b G x l L n t J Z C w z f S Z x d W 9 0 O 1 0 s J n F 1 b 3 Q 7 Q 2 9 s d W 1 u Q 2 9 1 b n Q m c X V v d D s 6 N C w m c X V v d D t L Z X l D b 2 x 1 b W 5 O Y W 1 l c y Z x d W 9 0 O z p b X S w m c X V v d D t D b 2 x 1 b W 5 J Z G V u d G l 0 a W V z J n F 1 b 3 Q 7 O l s m c X V v d D t T Z W N 0 a W 9 u M S 9 o d H R w c z p c X C 9 c X C 9 k Z S B m a W 5 h b m N l I H l h a G 9 v I G N v b V x c L 3 F 1 b 3 R l X F w v R V V S V V N E P V g / c D 1 F V V J V U 0 Q 9 W C 9 R d W V s b G U u e 0 N h c H R p b 2 4 s M H 0 m c X V v d D s s J n F 1 b 3 Q 7 U 2 V j d G l v b j E v a H R 0 c H M 6 X F w v X F w v Z G U g Z m l u Y W 5 j Z S B 5 Y W h v b y B j b 2 1 c X C 9 x d W 9 0 Z V x c L 0 V V U l V T R D 1 Y P 3 A 9 R V V S V V N E P V g v U X V l b G x l L n t T b 3 V y Y 2 U s M X 0 m c X V v d D s s J n F 1 b 3 Q 7 U 2 V j d G l v b j E v a H R 0 c H M 6 X F w v X F w v Z G U g Z m l u Y W 5 j Z S B 5 Y W h v b y B j b 2 1 c X C 9 x d W 9 0 Z V x c L 0 V V U l V T R D 1 Y P 3 A 9 R V V S V V N E P V g v U X V l b G x l L n t D b G F z c 0 5 h b W U s M n 0 m c X V v d D s s J n F 1 b 3 Q 7 U 2 V j d G l v b j E v a H R 0 c H M 6 X F w v X F w v Z G U g Z m l u Y W 5 j Z S B 5 Y W h v b y B j b 2 1 c X C 9 x d W 9 0 Z V x c L 0 V V U l V T R D 1 Y P 3 A 9 R V V S V V N E P V g v U X V l b G x l L n t J Z C w z f S Z x d W 9 0 O 1 0 s J n F 1 b 3 Q 7 U m V s Y X R p b 2 5 z a G l w S W 5 m b y Z x d W 9 0 O z p b X X 0 i I C 8 + P C 9 T d G F i b G V F b n R y a W V z P j w v S X R l b T 4 8 S X R l b T 4 8 S X R l b U x v Y 2 F 0 a W 9 u P j x J d G V t V H l w Z T 5 G b 3 J t d W x h P C 9 J d G V t V H l w Z T 4 8 S X R l b V B h d G g + U 2 V j d G l v b j E v a H R 0 c H M l M 0 E l M k Y l M k Z k Z S U y M G Z p b m F u Y 2 U l M j B 5 Y W h v b y U y M G N v b S U y R n F 1 b 3 R l J T J G R V V S V V N E J T N E W C U z R n A l M 0 R F V V J V U 0 Q l M 0 R Y L 1 F 1 Z W x s Z T w v S X R l b V B h d G g + P C 9 J d G V t T G 9 j Y X R p b 2 4 + P F N 0 Y W J s Z U V u d H J p Z X M g L z 4 8 L 0 l 0 Z W 0 + P C 9 J d G V t c z 4 8 L 0 x v Y 2 F s U G F j a 2 F n Z U 1 l d G F k Y X R h R m l s Z T 4 W A A A A U E s F B g A A A A A A A A A A A A A A A A A A A A A A A C Y B A A A B A A A A 0 I y d 3 w E V 0 R G M e g D A T 8 K X 6 w E A A A B b F M 9 k v v X n T K C z A D l H d f z h A A A A A A I A A A A A A B B m A A A A A Q A A I A A A A O e g i 0 T c t y f J K o I j o 8 r b 8 K 0 X E I G K w k 6 B J W s Q 3 i t y X i O z A A A A A A 6 A A A A A A g A A I A A A A B x i x z + W y T 7 k w u 6 G E P H G x 1 b 7 9 y 3 p 0 c f y b j n L 0 / W t A 2 x L U A A A A P 6 9 p 6 p t z L a R C W P s r Q a 3 S z m X M o k V s Z C W / H i L G V 1 Z v g 8 O Y k X x M Q x M F 0 t Z F c b L X m V y U X x f t l B L J g 5 o t E 9 7 g 5 / f y e l p V c 9 H 5 R e 2 G K u 6 X P C P + o x u Q A A A A L / C e C 4 j A v D j F y t T W F e 7 t 8 q A L 0 6 V o I q I I W v M X C L P 7 z 4 Y H Q w m w K v l A 1 8 G D M M B 4 I 4 7 N r E f w 3 K 4 I M 1 N j p J c w y / 8 5 X E = < / D a t a M a s h u p > 
</file>

<file path=customXml/itemProps1.xml><?xml version="1.0" encoding="utf-8"?>
<ds:datastoreItem xmlns:ds="http://schemas.openxmlformats.org/officeDocument/2006/customXml" ds:itemID="{01DFBFA4-1957-4C4A-BD4D-34995D6728BF}">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vt:i4>
      </vt:variant>
      <vt:variant>
        <vt:lpstr>Benannte Bereiche</vt:lpstr>
      </vt:variant>
      <vt:variant>
        <vt:i4>1</vt:i4>
      </vt:variant>
    </vt:vector>
  </HeadingPairs>
  <TitlesOfParts>
    <vt:vector size="5" baseType="lpstr">
      <vt:lpstr>Trading-Logbuch</vt:lpstr>
      <vt:lpstr>Eingebucht</vt:lpstr>
      <vt:lpstr>Legende</vt:lpstr>
      <vt:lpstr>Währungsumrechnungen</vt:lpstr>
      <vt:lpstr>Währungsumrechnungen!pubhtml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admin</cp:lastModifiedBy>
  <dcterms:created xsi:type="dcterms:W3CDTF">2020-11-15T10:27:35Z</dcterms:created>
  <dcterms:modified xsi:type="dcterms:W3CDTF">2022-12-06T08:47:33Z</dcterms:modified>
</cp:coreProperties>
</file>